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850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F48" i="1" l="1"/>
  <c r="F47" i="1"/>
  <c r="F45" i="1"/>
  <c r="H124" i="1"/>
  <c r="H125" i="1" s="1"/>
  <c r="D124" i="1"/>
  <c r="D125" i="1" s="1"/>
  <c r="C124" i="1"/>
  <c r="C125" i="1" s="1"/>
  <c r="C138" i="1" s="1"/>
  <c r="F123" i="1"/>
  <c r="F122" i="1"/>
  <c r="F121" i="1"/>
  <c r="F120" i="1"/>
  <c r="F119" i="1"/>
  <c r="F118" i="1"/>
  <c r="E117" i="1"/>
  <c r="E124" i="1" s="1"/>
  <c r="E125" i="1" s="1"/>
  <c r="E138" i="1" s="1"/>
  <c r="D117" i="1"/>
  <c r="F117" i="1" s="1"/>
  <c r="F116" i="1"/>
  <c r="F115" i="1"/>
  <c r="F114" i="1"/>
  <c r="E113" i="1"/>
  <c r="D113" i="1"/>
  <c r="F113" i="1" s="1"/>
  <c r="G113" i="1" s="1"/>
  <c r="C113" i="1"/>
  <c r="E110" i="1"/>
  <c r="C110" i="1"/>
  <c r="H108" i="1"/>
  <c r="H110" i="1" s="1"/>
  <c r="E108" i="1"/>
  <c r="E137" i="1" s="1"/>
  <c r="C108" i="1"/>
  <c r="C137" i="1" s="1"/>
  <c r="F107" i="1"/>
  <c r="F106" i="1"/>
  <c r="F105" i="1"/>
  <c r="F104" i="1"/>
  <c r="E103" i="1"/>
  <c r="D103" i="1"/>
  <c r="F103" i="1" s="1"/>
  <c r="E101" i="1"/>
  <c r="D101" i="1"/>
  <c r="F101" i="1" s="1"/>
  <c r="C101" i="1"/>
  <c r="H99" i="1"/>
  <c r="H101" i="1" s="1"/>
  <c r="E99" i="1"/>
  <c r="E136" i="1" s="1"/>
  <c r="D99" i="1"/>
  <c r="D136" i="1" s="1"/>
  <c r="C99" i="1"/>
  <c r="C136" i="1" s="1"/>
  <c r="F96" i="1"/>
  <c r="F95" i="1"/>
  <c r="F94" i="1"/>
  <c r="F93" i="1"/>
  <c r="F92" i="1"/>
  <c r="F91" i="1"/>
  <c r="F90" i="1"/>
  <c r="F89" i="1"/>
  <c r="F88" i="1"/>
  <c r="F87" i="1"/>
  <c r="H83" i="1"/>
  <c r="H85" i="1" s="1"/>
  <c r="E83" i="1"/>
  <c r="C83" i="1"/>
  <c r="F82" i="1"/>
  <c r="F81" i="1"/>
  <c r="E80" i="1"/>
  <c r="D80" i="1"/>
  <c r="D83" i="1" s="1"/>
  <c r="F83" i="1" s="1"/>
  <c r="F79" i="1"/>
  <c r="F78" i="1"/>
  <c r="H76" i="1"/>
  <c r="E76" i="1"/>
  <c r="D76" i="1"/>
  <c r="F76" i="1" s="1"/>
  <c r="C76" i="1"/>
  <c r="F75" i="1"/>
  <c r="F74" i="1"/>
  <c r="H73" i="1"/>
  <c r="E73" i="1"/>
  <c r="D73" i="1"/>
  <c r="C73" i="1"/>
  <c r="F71" i="1"/>
  <c r="F70" i="1"/>
  <c r="F69" i="1"/>
  <c r="F68" i="1"/>
  <c r="F67" i="1"/>
  <c r="F66" i="1"/>
  <c r="H65" i="1"/>
  <c r="E65" i="1"/>
  <c r="D65" i="1"/>
  <c r="D85" i="1" s="1"/>
  <c r="C65" i="1"/>
  <c r="F63" i="1"/>
  <c r="E62" i="1"/>
  <c r="D62" i="1"/>
  <c r="C62" i="1"/>
  <c r="H60" i="1"/>
  <c r="H62" i="1" s="1"/>
  <c r="E60" i="1"/>
  <c r="E134" i="1" s="1"/>
  <c r="D60" i="1"/>
  <c r="D134" i="1" s="1"/>
  <c r="F134" i="1" s="1"/>
  <c r="C60" i="1"/>
  <c r="C134" i="1" s="1"/>
  <c r="F59" i="1"/>
  <c r="F58" i="1"/>
  <c r="F57" i="1"/>
  <c r="F56" i="1"/>
  <c r="F54" i="1"/>
  <c r="F53" i="1"/>
  <c r="E52" i="1"/>
  <c r="D52" i="1"/>
  <c r="F52" i="1" s="1"/>
  <c r="C52" i="1"/>
  <c r="H51" i="1"/>
  <c r="H52" i="1" s="1"/>
  <c r="E51" i="1"/>
  <c r="E133" i="1" s="1"/>
  <c r="D51" i="1"/>
  <c r="D133" i="1" s="1"/>
  <c r="F133" i="1" s="1"/>
  <c r="C51" i="1"/>
  <c r="C133" i="1" s="1"/>
  <c r="F49" i="1"/>
  <c r="F44" i="1"/>
  <c r="H40" i="1"/>
  <c r="E40" i="1"/>
  <c r="D40" i="1"/>
  <c r="F40" i="1" s="1"/>
  <c r="C40" i="1"/>
  <c r="F39" i="1"/>
  <c r="F38" i="1"/>
  <c r="F37" i="1"/>
  <c r="F36" i="1"/>
  <c r="F35" i="1"/>
  <c r="F34" i="1"/>
  <c r="F33" i="1"/>
  <c r="F32" i="1"/>
  <c r="H31" i="1"/>
  <c r="H42" i="1" s="1"/>
  <c r="E31" i="1"/>
  <c r="E42" i="1" s="1"/>
  <c r="D31" i="1"/>
  <c r="D42" i="1" s="1"/>
  <c r="C31" i="1"/>
  <c r="C42" i="1" s="1"/>
  <c r="F29" i="1"/>
  <c r="F28" i="1"/>
  <c r="H24" i="1"/>
  <c r="E24" i="1"/>
  <c r="D24" i="1"/>
  <c r="U25" i="1" s="1"/>
  <c r="C24" i="1"/>
  <c r="U24" i="1" s="1"/>
  <c r="F22" i="1"/>
  <c r="F21" i="1"/>
  <c r="F20" i="1"/>
  <c r="F19" i="1"/>
  <c r="F18" i="1"/>
  <c r="F17" i="1"/>
  <c r="F16" i="1"/>
  <c r="H14" i="1"/>
  <c r="E14" i="1"/>
  <c r="D14" i="1"/>
  <c r="F14" i="1" s="1"/>
  <c r="C14" i="1"/>
  <c r="N13" i="1"/>
  <c r="M13" i="1"/>
  <c r="L13" i="1"/>
  <c r="T12" i="1"/>
  <c r="S12" i="1"/>
  <c r="R12" i="1"/>
  <c r="F12" i="1"/>
  <c r="S11" i="1"/>
  <c r="Q11" i="1"/>
  <c r="T11" i="1" s="1"/>
  <c r="P11" i="1"/>
  <c r="O11" i="1"/>
  <c r="R11" i="1" s="1"/>
  <c r="F11" i="1"/>
  <c r="S10" i="1"/>
  <c r="Q10" i="1"/>
  <c r="T10" i="1" s="1"/>
  <c r="P10" i="1"/>
  <c r="O10" i="1"/>
  <c r="R10" i="1" s="1"/>
  <c r="F10" i="1"/>
  <c r="Q9" i="1"/>
  <c r="T9" i="1" s="1"/>
  <c r="O9" i="1"/>
  <c r="R9" i="1" s="1"/>
  <c r="F9" i="1"/>
  <c r="S8" i="1"/>
  <c r="P8" i="1"/>
  <c r="F8" i="1"/>
  <c r="S7" i="1"/>
  <c r="Q7" i="1"/>
  <c r="T7" i="1" s="1"/>
  <c r="P7" i="1"/>
  <c r="O7" i="1"/>
  <c r="R7" i="1" s="1"/>
  <c r="F7" i="1"/>
  <c r="S6" i="1"/>
  <c r="Q6" i="1"/>
  <c r="T6" i="1" s="1"/>
  <c r="P6" i="1"/>
  <c r="O6" i="1"/>
  <c r="R6" i="1" s="1"/>
  <c r="H6" i="1"/>
  <c r="H26" i="1" s="1"/>
  <c r="G5" i="1"/>
  <c r="E5" i="1"/>
  <c r="D5" i="1"/>
  <c r="F5" i="1" s="1"/>
  <c r="E4" i="1"/>
  <c r="E6" i="1" s="1"/>
  <c r="D4" i="1"/>
  <c r="F4" i="1" s="1"/>
  <c r="F3" i="1"/>
  <c r="C2" i="1"/>
  <c r="C6" i="1" s="1"/>
  <c r="C26" i="1" l="1"/>
  <c r="O4" i="1"/>
  <c r="D132" i="1"/>
  <c r="F42" i="1"/>
  <c r="P5" i="1"/>
  <c r="S5" i="1" s="1"/>
  <c r="G40" i="1"/>
  <c r="G39" i="1"/>
  <c r="G38" i="1"/>
  <c r="G37" i="1"/>
  <c r="G36" i="1"/>
  <c r="G35" i="1"/>
  <c r="G34" i="1"/>
  <c r="G33" i="1"/>
  <c r="G32" i="1"/>
  <c r="E26" i="1"/>
  <c r="Q4" i="1"/>
  <c r="H127" i="1"/>
  <c r="G14" i="1"/>
  <c r="G12" i="1"/>
  <c r="G11" i="1"/>
  <c r="G10" i="1"/>
  <c r="G9" i="1"/>
  <c r="G8" i="1"/>
  <c r="G7" i="1"/>
  <c r="C132" i="1"/>
  <c r="O5" i="1"/>
  <c r="R5" i="1" s="1"/>
  <c r="E132" i="1"/>
  <c r="Q5" i="1"/>
  <c r="T5" i="1" s="1"/>
  <c r="D6" i="1"/>
  <c r="F24" i="1"/>
  <c r="F31" i="1"/>
  <c r="F62" i="1"/>
  <c r="C85" i="1"/>
  <c r="E85" i="1"/>
  <c r="F73" i="1"/>
  <c r="F136" i="1"/>
  <c r="F125" i="1"/>
  <c r="D138" i="1"/>
  <c r="F138" i="1" s="1"/>
  <c r="F2" i="1"/>
  <c r="F51" i="1"/>
  <c r="D135" i="1"/>
  <c r="F85" i="1"/>
  <c r="G75" i="1"/>
  <c r="G74" i="1"/>
  <c r="G76" i="1"/>
  <c r="G83" i="1"/>
  <c r="G82" i="1"/>
  <c r="G81" i="1"/>
  <c r="G80" i="1"/>
  <c r="G79" i="1"/>
  <c r="G78" i="1"/>
  <c r="F80" i="1"/>
  <c r="F60" i="1"/>
  <c r="F65" i="1"/>
  <c r="F99" i="1"/>
  <c r="D108" i="1"/>
  <c r="D110" i="1"/>
  <c r="F124" i="1"/>
  <c r="D137" i="1" l="1"/>
  <c r="F137" i="1" s="1"/>
  <c r="F108" i="1"/>
  <c r="G49" i="1"/>
  <c r="G48" i="1"/>
  <c r="G47" i="1"/>
  <c r="G46" i="1"/>
  <c r="G51" i="1"/>
  <c r="G45" i="1"/>
  <c r="G44" i="1"/>
  <c r="G52" i="1" s="1"/>
  <c r="G133" i="1" s="1"/>
  <c r="G71" i="1"/>
  <c r="G70" i="1"/>
  <c r="G69" i="1"/>
  <c r="G68" i="1"/>
  <c r="G67" i="1"/>
  <c r="G66" i="1"/>
  <c r="G73" i="1"/>
  <c r="C135" i="1"/>
  <c r="F135" i="1" s="1"/>
  <c r="O8" i="1"/>
  <c r="R8" i="1" s="1"/>
  <c r="P4" i="1"/>
  <c r="D26" i="1"/>
  <c r="F6" i="1"/>
  <c r="E131" i="1"/>
  <c r="E127" i="1"/>
  <c r="F110" i="1"/>
  <c r="P9" i="1"/>
  <c r="S9" i="1" s="1"/>
  <c r="G99" i="1"/>
  <c r="G96" i="1"/>
  <c r="G95" i="1"/>
  <c r="G94" i="1"/>
  <c r="G93" i="1"/>
  <c r="G92" i="1"/>
  <c r="G91" i="1"/>
  <c r="G90" i="1"/>
  <c r="G89" i="1"/>
  <c r="G88" i="1"/>
  <c r="G87" i="1"/>
  <c r="G59" i="1"/>
  <c r="G58" i="1"/>
  <c r="G57" i="1"/>
  <c r="G56" i="1"/>
  <c r="G60" i="1"/>
  <c r="G54" i="1"/>
  <c r="G53" i="1"/>
  <c r="G62" i="1" s="1"/>
  <c r="G134" i="1" s="1"/>
  <c r="E135" i="1"/>
  <c r="Q8" i="1"/>
  <c r="T8" i="1" s="1"/>
  <c r="G24" i="1"/>
  <c r="G22" i="1"/>
  <c r="G21" i="1"/>
  <c r="G20" i="1"/>
  <c r="G19" i="1"/>
  <c r="G18" i="1"/>
  <c r="G17" i="1"/>
  <c r="G16" i="1"/>
  <c r="Q13" i="1"/>
  <c r="T4" i="1"/>
  <c r="T13" i="1" s="1"/>
  <c r="O13" i="1"/>
  <c r="R4" i="1"/>
  <c r="R13" i="1" s="1"/>
  <c r="G123" i="1"/>
  <c r="G122" i="1"/>
  <c r="G121" i="1"/>
  <c r="G120" i="1"/>
  <c r="G119" i="1"/>
  <c r="G118" i="1"/>
  <c r="G117" i="1"/>
  <c r="G116" i="1"/>
  <c r="G115" i="1"/>
  <c r="G114" i="1"/>
  <c r="G124" i="1"/>
  <c r="G63" i="1"/>
  <c r="G65" i="1"/>
  <c r="G31" i="1"/>
  <c r="G29" i="1"/>
  <c r="G28" i="1"/>
  <c r="F132" i="1"/>
  <c r="C131" i="1"/>
  <c r="C140" i="1" s="1"/>
  <c r="C127" i="1"/>
  <c r="G42" i="1" l="1"/>
  <c r="G132" i="1" s="1"/>
  <c r="G85" i="1"/>
  <c r="G135" i="1" s="1"/>
  <c r="G125" i="1"/>
  <c r="G138" i="1" s="1"/>
  <c r="G101" i="1"/>
  <c r="G136" i="1" s="1"/>
  <c r="E140" i="1"/>
  <c r="D131" i="1"/>
  <c r="D127" i="1"/>
  <c r="F127" i="1" s="1"/>
  <c r="F26" i="1"/>
  <c r="G108" i="1"/>
  <c r="G107" i="1"/>
  <c r="G106" i="1"/>
  <c r="G105" i="1"/>
  <c r="G104" i="1"/>
  <c r="G103" i="1"/>
  <c r="G6" i="1"/>
  <c r="G2" i="1"/>
  <c r="G4" i="1"/>
  <c r="G3" i="1"/>
  <c r="S4" i="1"/>
  <c r="S13" i="1" s="1"/>
  <c r="P13" i="1"/>
  <c r="G26" i="1" l="1"/>
  <c r="G110" i="1"/>
  <c r="G137" i="1" s="1"/>
  <c r="D140" i="1"/>
  <c r="F140" i="1" s="1"/>
  <c r="F131" i="1"/>
  <c r="G131" i="1" l="1"/>
  <c r="G140" i="1" s="1"/>
  <c r="G141" i="1" s="1"/>
  <c r="G127" i="1"/>
</calcChain>
</file>

<file path=xl/sharedStrings.xml><?xml version="1.0" encoding="utf-8"?>
<sst xmlns="http://schemas.openxmlformats.org/spreadsheetml/2006/main" count="296" uniqueCount="192">
  <si>
    <t>Cabang</t>
  </si>
  <si>
    <t>Nama Salesman</t>
  </si>
  <si>
    <t>TARGET</t>
  </si>
  <si>
    <t>ACT HNA</t>
  </si>
  <si>
    <t>NETT SALES</t>
  </si>
  <si>
    <t>%</t>
  </si>
  <si>
    <t>JUMLAH INCENTIVE</t>
  </si>
  <si>
    <t>Powder 20GR</t>
  </si>
  <si>
    <t>TANDA TERIMA</t>
  </si>
  <si>
    <t>BGR</t>
  </si>
  <si>
    <t>BGRM</t>
  </si>
  <si>
    <t>CUCUN (MMGR BOGOR 2)</t>
  </si>
  <si>
    <t>INCENTIVE SPR</t>
  </si>
  <si>
    <t>INCENTIVE SALES JSD</t>
  </si>
  <si>
    <t>SELISIH</t>
  </si>
  <si>
    <t>A. ROHMAN (DIV KARA B3B)</t>
  </si>
  <si>
    <t>IKHSAN (MMGR DEPOK 2)</t>
  </si>
  <si>
    <t>CROSS CECK</t>
  </si>
  <si>
    <t>ACTUAL</t>
  </si>
  <si>
    <t>NETT</t>
  </si>
  <si>
    <t>ARIF  (DIV KARA W )</t>
  </si>
  <si>
    <t>NURJEN (CHAIN A)</t>
  </si>
  <si>
    <t>ASEP K (DIV KARA B3A)</t>
  </si>
  <si>
    <t>MT</t>
  </si>
  <si>
    <t>BKS</t>
  </si>
  <si>
    <t>SPV MODERN</t>
  </si>
  <si>
    <t>JKB</t>
  </si>
  <si>
    <t>DANU G (CHAIN A)</t>
  </si>
  <si>
    <t>BGRT</t>
  </si>
  <si>
    <t>TGR</t>
  </si>
  <si>
    <t>DONI (DIV KARA RB)</t>
  </si>
  <si>
    <t>KRW</t>
  </si>
  <si>
    <t>HARIS (R3 DPK GRO)</t>
  </si>
  <si>
    <t>SRG</t>
  </si>
  <si>
    <t>HENDRI  (CHAIN A)</t>
  </si>
  <si>
    <t>SKB</t>
  </si>
  <si>
    <t>ROCHMAT (DIV KARA DI)</t>
  </si>
  <si>
    <t>JTIM</t>
  </si>
  <si>
    <t>IKRA (DIV KARA B4)</t>
  </si>
  <si>
    <t>UCOK  (DIV KARA D2)</t>
  </si>
  <si>
    <t>SPV LK</t>
  </si>
  <si>
    <t>OFFICE BOGOR</t>
  </si>
  <si>
    <t>SPV BGRT UTARA</t>
  </si>
  <si>
    <t>OMRI (DIV KARA SO)</t>
  </si>
  <si>
    <t>PANJI (DIV KARA B1)</t>
  </si>
  <si>
    <t>RAGIL ( R3 BGR GRO)</t>
  </si>
  <si>
    <t>ROCHMAT (DIV KARA D2)</t>
  </si>
  <si>
    <t>SARI  (CHAIN A)</t>
  </si>
  <si>
    <t>SARI  (CHAIN B)</t>
  </si>
  <si>
    <t>UCOK (DIV KARA DI)</t>
  </si>
  <si>
    <t>WAHYU (DIV KARA B2)</t>
  </si>
  <si>
    <t>YANA (DIV KARA W BGR)</t>
  </si>
  <si>
    <t>YASIN  (CHAIN B)</t>
  </si>
  <si>
    <t>SPV BGRT SELATAN</t>
  </si>
  <si>
    <t>GRAND TOTAL BOGOR</t>
  </si>
  <si>
    <t>JAEN/SNACK/GRO/MM</t>
  </si>
  <si>
    <t>KARTA/JE/GROCERY/BKS</t>
  </si>
  <si>
    <t>HITLER/KARA/W</t>
  </si>
  <si>
    <t>IBNU/KSP/B4</t>
  </si>
  <si>
    <t>SPV MIX</t>
  </si>
  <si>
    <t>ICU S/KARA/B1</t>
  </si>
  <si>
    <t>TIMBUL/RK</t>
  </si>
  <si>
    <t>KARYA/RK2/GRO/BKS</t>
  </si>
  <si>
    <t>SAIFUL BAHRI/KSP/B2</t>
  </si>
  <si>
    <t>SUBARDI/KSP/B3</t>
  </si>
  <si>
    <t>TIMBUL/RK1/GROCERY/BKS</t>
  </si>
  <si>
    <t>TONI WAHYUDI/KSP/B5</t>
  </si>
  <si>
    <t>REGAN/KSP/B5</t>
  </si>
  <si>
    <t>WAHYU/KSP/SO</t>
  </si>
  <si>
    <t>SPV EXCLUSIVE KARA</t>
  </si>
  <si>
    <t>GRAND TOTAL BEKASI</t>
  </si>
  <si>
    <t>AGUS L /KSP/JKT1-01</t>
  </si>
  <si>
    <t>MARLAN/KSP/W/JKT01</t>
  </si>
  <si>
    <t>PRABOWO  /KSP/JKT1-03</t>
  </si>
  <si>
    <t>HERU GUNAWAN/SM/GROCERY/JKT</t>
  </si>
  <si>
    <t>ROSALINA/MIX/JKT1/MT</t>
  </si>
  <si>
    <t>SYAHRUL  /KSP/JKT1-02</t>
  </si>
  <si>
    <t>TAUFIK/KSP/SO/JKT1</t>
  </si>
  <si>
    <t>SPV JKB</t>
  </si>
  <si>
    <t>GRAND TOTAL JAKBAR</t>
  </si>
  <si>
    <t>JKT</t>
  </si>
  <si>
    <t>AGUNG/KSP/JT3</t>
  </si>
  <si>
    <t>DEDE IMAN/KSP/JT1</t>
  </si>
  <si>
    <t>DEDE K/RK</t>
  </si>
  <si>
    <t>JAMALUDIN/RK/JKT</t>
  </si>
  <si>
    <t>DEDE KURNIA/RK/JKT</t>
  </si>
  <si>
    <t>MISNO/KSP/SO-JT</t>
  </si>
  <si>
    <t>JAMALUDIN/KSP/T4</t>
  </si>
  <si>
    <t>NIRMA.H/KSP/JT-T2</t>
  </si>
  <si>
    <t>RANGGA/KSP/JT/W</t>
  </si>
  <si>
    <t>SPV JKT</t>
  </si>
  <si>
    <t>GRAND TOTAL JAKTIM</t>
  </si>
  <si>
    <t>KRWM</t>
  </si>
  <si>
    <t>CIPTO (MT)</t>
  </si>
  <si>
    <t>KRWT</t>
  </si>
  <si>
    <t>ALI /KSP/K3</t>
  </si>
  <si>
    <t>DANI/KSP/SO</t>
  </si>
  <si>
    <t>ADE MUSTOPA/ALL-GROCERY/P3-P4</t>
  </si>
  <si>
    <t>HASYIHABUDIN/ KSP/K2</t>
  </si>
  <si>
    <t>AHMAD MAKI(MT)</t>
  </si>
  <si>
    <t>MARYANTO/KSP/B5</t>
  </si>
  <si>
    <t>ALGI GINANJAR/KSP/W-SBG</t>
  </si>
  <si>
    <t>MUKLIS/KSP/K1</t>
  </si>
  <si>
    <t>USMAN HARYADI/KSP/W</t>
  </si>
  <si>
    <t>BADRODIN /KSP/P1</t>
  </si>
  <si>
    <t>SPV TRADISIONAL</t>
  </si>
  <si>
    <t>EKA RAMDANI/GROCERY-R3/ KRW</t>
  </si>
  <si>
    <t>DIDIN SAEPUDIN  MM(MT)</t>
  </si>
  <si>
    <t>INDRA/GROCERY- R3/CKR</t>
  </si>
  <si>
    <t>FERY FEBRIANSYAH/KSP/P2</t>
  </si>
  <si>
    <t>KRWP</t>
  </si>
  <si>
    <t>KHOLID/KSP/W-PWK</t>
  </si>
  <si>
    <t>NURDIN/SO/PWK</t>
  </si>
  <si>
    <t>NUR RACHMAN (MT)</t>
  </si>
  <si>
    <t>SPV PURWAKARTA</t>
  </si>
  <si>
    <t>SULAEMAN (MT)</t>
  </si>
  <si>
    <t>GRAND TOTAL KARAWANG</t>
  </si>
  <si>
    <t>ABDUL/KSP/C2</t>
  </si>
  <si>
    <t>ADE SURYANA/KSP/S1</t>
  </si>
  <si>
    <t>ASEP RAMDAN/KSP/W/SMI/CJR</t>
  </si>
  <si>
    <t>CECEP/KSP/S3</t>
  </si>
  <si>
    <t>HERI/KSP/C1</t>
  </si>
  <si>
    <t>IYUS/KSP/SO/SMI/CJR</t>
  </si>
  <si>
    <t>RENDI/KSP/S2</t>
  </si>
  <si>
    <t>MIA.S/MODERN</t>
  </si>
  <si>
    <t>RIZAL.P/RK/GROCERY</t>
  </si>
  <si>
    <t>SHENDI/KSP/C3</t>
  </si>
  <si>
    <t>SPV SKB</t>
  </si>
  <si>
    <t>GRAND TOTAL SUKABUMI</t>
  </si>
  <si>
    <t>A.YANI/KSP/SRG/W</t>
  </si>
  <si>
    <t>DIKI/KSP/SRG3</t>
  </si>
  <si>
    <t>ADJAT SUDRAJAT/SM/SERANG</t>
  </si>
  <si>
    <t>M.NOYON/KSP/SRG2</t>
  </si>
  <si>
    <t>SUPRIYANTO/KSP/SRG1</t>
  </si>
  <si>
    <t>HIDAYATUL/GRO1/SRG4</t>
  </si>
  <si>
    <t>WULAN/KSP/SRG4</t>
  </si>
  <si>
    <t>SPV SRG</t>
  </si>
  <si>
    <t>GRAND TOTAL SERANG</t>
  </si>
  <si>
    <t>SPV TGR MODERN</t>
  </si>
  <si>
    <t>A.BADRUSALAM /KSP/W1</t>
  </si>
  <si>
    <t>HADIYANTO/KSP/T5.6</t>
  </si>
  <si>
    <t>BUDI WIBOWO/KSP/T3.4</t>
  </si>
  <si>
    <t>BUDI /KSP/T2</t>
  </si>
  <si>
    <t>HARMOKO/KSP/SO</t>
  </si>
  <si>
    <t>DENI/KSP/T5</t>
  </si>
  <si>
    <t>HERIYANTO/KSP/T7.8</t>
  </si>
  <si>
    <t>EFFENDI/SM/TGR</t>
  </si>
  <si>
    <t>DENI/KSP/T5B</t>
  </si>
  <si>
    <t>HADIYANTO/KSP/T3</t>
  </si>
  <si>
    <t>MUSTAKIN/KSP/W2</t>
  </si>
  <si>
    <t>NUNUNG/KSP/T6B</t>
  </si>
  <si>
    <t>HERIYANTO/KSP/T4</t>
  </si>
  <si>
    <t>PUSPA .I/MIX/TGR/MT</t>
  </si>
  <si>
    <t>MUSTAQIM/KSP/W2</t>
  </si>
  <si>
    <t>NURITA /KSP/T1.2</t>
  </si>
  <si>
    <t>NUNUNG/KSP/T6</t>
  </si>
  <si>
    <t>SPV TGR</t>
  </si>
  <si>
    <t>NURITA /KSP/T1</t>
  </si>
  <si>
    <t>GRAND TOTAL TANGERANG</t>
  </si>
  <si>
    <t>Grand Total</t>
  </si>
  <si>
    <t>REKAP INCENTIVES TEAM JESSINDO GROUP</t>
  </si>
  <si>
    <t>CABANG</t>
  </si>
  <si>
    <t>SPR</t>
  </si>
  <si>
    <t>RAHMAT</t>
  </si>
  <si>
    <t>HAIRUL</t>
  </si>
  <si>
    <t>ARIF</t>
  </si>
  <si>
    <t>IING SODIKIN</t>
  </si>
  <si>
    <t>SAEFUDIN</t>
  </si>
  <si>
    <t>NURDIN</t>
  </si>
  <si>
    <t>TOTAL</t>
  </si>
  <si>
    <t>Bogor , 15  Agustus  2018</t>
  </si>
  <si>
    <t>Dibuat Oleh,</t>
  </si>
  <si>
    <t>Diketahui Oleh,</t>
  </si>
  <si>
    <t>Disetujui Oleh,</t>
  </si>
  <si>
    <t>Rahmat S</t>
  </si>
  <si>
    <t>Bp Juwadi</t>
  </si>
  <si>
    <t>Bp Nasrudin</t>
  </si>
  <si>
    <t>Bp HJ</t>
  </si>
  <si>
    <t>NOTE :</t>
  </si>
  <si>
    <t>INSENTIF PER APR 2017</t>
  </si>
  <si>
    <t>PERHITUNGAN INCENTIVE TEAM JESSINDO GROUP</t>
  </si>
  <si>
    <t>JIKA NETT SALES SALESMAN/SPV KURANG DARI ATAU SAMA DG 500 JT</t>
  </si>
  <si>
    <t>% capai</t>
  </si>
  <si>
    <t>% nilai insentif</t>
  </si>
  <si>
    <t xml:space="preserve">Maks Insetif </t>
  </si>
  <si>
    <t>&gt;80%</t>
  </si>
  <si>
    <t>&gt;90%</t>
  </si>
  <si>
    <t>&gt;100%</t>
  </si>
  <si>
    <t>JIKA NETT SALES SALESMAN/SPV LEBIH DARI 500 JT</t>
  </si>
  <si>
    <t>INSENTIF</t>
  </si>
  <si>
    <t>note; berkala akan selalu di evaluasi untuk support yg lebih baik.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</si>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</sst>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000000000000000_);_(* \(#,##0.0000000000000000\);_(* &quot;-&quot;??_);_(@_)"/>
    <numFmt numFmtId="166" formatCode="_(* #,##0.00000_);_(* \(#,##0.00000\);_(* &quot;-&quot;??_);_(@_)"/>
    <numFmt numFmtId="167" formatCode="0.0%"/>
    <numFmt numFmtId="168" formatCode="0.00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</font>
    <font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name val="Trebuchet MS"/>
      <family val="2"/>
    </font>
    <font>
      <sz val="10"/>
      <color theme="1"/>
      <name val="Trebuchet MS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41" fontId="4" fillId="0" borderId="0" applyFont="0" applyFill="0" applyBorder="0" applyAlignment="0" applyProtection="0"/>
  </cellStyleXfs>
  <cellXfs count="157">
    <xf numFmtId="0" fontId="0" fillId="0" borderId="0" xfId="0"/>
    <xf numFmtId="0" fontId="2" fillId="0" borderId="1" xfId="3" applyFont="1" applyBorder="1" applyAlignment="1">
      <alignment horizontal="left" vertical="center" wrapText="1"/>
    </xf>
    <xf numFmtId="0" fontId="3" fillId="0" borderId="1" xfId="3" applyFont="1" applyBorder="1" applyAlignment="1">
      <alignment horizontal="left" vertical="center" wrapText="1"/>
    </xf>
    <xf numFmtId="0" fontId="3" fillId="0" borderId="1" xfId="3" applyFont="1" applyBorder="1" applyAlignment="1">
      <alignment horizontal="center" vertical="center" wrapText="1"/>
    </xf>
    <xf numFmtId="0" fontId="3" fillId="2" borderId="1" xfId="3" applyFont="1" applyFill="1" applyBorder="1" applyAlignment="1">
      <alignment horizontal="center" vertical="center" wrapText="1"/>
    </xf>
    <xf numFmtId="0" fontId="2" fillId="0" borderId="0" xfId="3" applyFont="1"/>
    <xf numFmtId="0" fontId="2" fillId="0" borderId="0" xfId="3" applyFont="1" applyBorder="1"/>
    <xf numFmtId="164" fontId="2" fillId="0" borderId="0" xfId="1" applyNumberFormat="1" applyFont="1"/>
    <xf numFmtId="164" fontId="5" fillId="0" borderId="1" xfId="0" applyNumberFormat="1" applyFont="1" applyBorder="1" applyAlignment="1">
      <alignment horizontal="left"/>
    </xf>
    <xf numFmtId="164" fontId="5" fillId="0" borderId="1" xfId="0" applyNumberFormat="1" applyFont="1" applyBorder="1"/>
    <xf numFmtId="0" fontId="2" fillId="0" borderId="1" xfId="3" applyFont="1" applyBorder="1"/>
    <xf numFmtId="0" fontId="2" fillId="0" borderId="1" xfId="0" applyFont="1" applyBorder="1"/>
    <xf numFmtId="164" fontId="2" fillId="0" borderId="1" xfId="1" applyNumberFormat="1" applyFont="1" applyBorder="1"/>
    <xf numFmtId="164" fontId="0" fillId="0" borderId="1" xfId="0" applyNumberFormat="1" applyBorder="1"/>
    <xf numFmtId="9" fontId="2" fillId="0" borderId="1" xfId="2" applyFont="1" applyBorder="1"/>
    <xf numFmtId="3" fontId="2" fillId="0" borderId="1" xfId="3" applyNumberFormat="1" applyFont="1" applyBorder="1"/>
    <xf numFmtId="3" fontId="2" fillId="0" borderId="1" xfId="0" applyNumberFormat="1" applyFont="1" applyBorder="1"/>
    <xf numFmtId="0" fontId="6" fillId="0" borderId="1" xfId="3" applyFont="1" applyBorder="1" applyAlignment="1">
      <alignment horizontal="center"/>
    </xf>
    <xf numFmtId="164" fontId="0" fillId="0" borderId="1" xfId="0" applyNumberFormat="1" applyBorder="1" applyAlignment="1">
      <alignment horizontal="left" indent="1"/>
    </xf>
    <xf numFmtId="3" fontId="2" fillId="0" borderId="2" xfId="0" applyNumberFormat="1" applyFont="1" applyBorder="1"/>
    <xf numFmtId="0" fontId="7" fillId="0" borderId="0" xfId="3" applyFont="1" applyBorder="1"/>
    <xf numFmtId="0" fontId="8" fillId="0" borderId="1" xfId="3" applyFont="1" applyBorder="1" applyAlignment="1">
      <alignment horizontal="center"/>
    </xf>
    <xf numFmtId="0" fontId="9" fillId="0" borderId="1" xfId="0" applyFont="1" applyBorder="1"/>
    <xf numFmtId="164" fontId="9" fillId="0" borderId="1" xfId="1" applyNumberFormat="1" applyFont="1" applyBorder="1"/>
    <xf numFmtId="164" fontId="10" fillId="0" borderId="1" xfId="1" applyNumberFormat="1" applyFont="1" applyBorder="1"/>
    <xf numFmtId="3" fontId="2" fillId="0" borderId="1" xfId="4" applyNumberFormat="1" applyFont="1" applyBorder="1"/>
    <xf numFmtId="0" fontId="2" fillId="3" borderId="1" xfId="3" applyFont="1" applyFill="1" applyBorder="1"/>
    <xf numFmtId="164" fontId="2" fillId="3" borderId="1" xfId="3" applyNumberFormat="1" applyFont="1" applyFill="1" applyBorder="1"/>
    <xf numFmtId="9" fontId="2" fillId="3" borderId="1" xfId="2" applyFont="1" applyFill="1" applyBorder="1"/>
    <xf numFmtId="3" fontId="2" fillId="3" borderId="1" xfId="3" applyNumberFormat="1" applyFont="1" applyFill="1" applyBorder="1"/>
    <xf numFmtId="0" fontId="2" fillId="0" borderId="1" xfId="4" applyFont="1" applyBorder="1"/>
    <xf numFmtId="0" fontId="9" fillId="0" borderId="1" xfId="3" applyFont="1" applyBorder="1"/>
    <xf numFmtId="0" fontId="9" fillId="2" borderId="1" xfId="3" applyFont="1" applyFill="1" applyBorder="1"/>
    <xf numFmtId="0" fontId="10" fillId="0" borderId="1" xfId="0" applyFont="1" applyBorder="1"/>
    <xf numFmtId="3" fontId="10" fillId="2" borderId="1" xfId="0" applyNumberFormat="1" applyFont="1" applyFill="1" applyBorder="1"/>
    <xf numFmtId="3" fontId="10" fillId="0" borderId="1" xfId="0" applyNumberFormat="1" applyFont="1" applyBorder="1"/>
    <xf numFmtId="0" fontId="2" fillId="3" borderId="1" xfId="4" applyFont="1" applyFill="1" applyBorder="1"/>
    <xf numFmtId="164" fontId="2" fillId="3" borderId="1" xfId="1" applyNumberFormat="1" applyFont="1" applyFill="1" applyBorder="1"/>
    <xf numFmtId="0" fontId="2" fillId="0" borderId="3" xfId="0" applyFont="1" applyBorder="1"/>
    <xf numFmtId="3" fontId="2" fillId="0" borderId="3" xfId="0" applyNumberFormat="1" applyFont="1" applyBorder="1"/>
    <xf numFmtId="3" fontId="2" fillId="0" borderId="4" xfId="0" applyNumberFormat="1" applyFont="1" applyBorder="1"/>
    <xf numFmtId="0" fontId="2" fillId="0" borderId="0" xfId="0" applyFont="1" applyBorder="1"/>
    <xf numFmtId="0" fontId="2" fillId="0" borderId="5" xfId="0" applyFont="1" applyBorder="1"/>
    <xf numFmtId="3" fontId="2" fillId="0" borderId="5" xfId="0" applyNumberFormat="1" applyFont="1" applyBorder="1"/>
    <xf numFmtId="3" fontId="2" fillId="0" borderId="6" xfId="0" applyNumberFormat="1" applyFont="1" applyBorder="1"/>
    <xf numFmtId="3" fontId="2" fillId="0" borderId="0" xfId="0" applyNumberFormat="1" applyFont="1" applyBorder="1"/>
    <xf numFmtId="0" fontId="2" fillId="4" borderId="0" xfId="3" applyFont="1" applyFill="1"/>
    <xf numFmtId="165" fontId="2" fillId="0" borderId="0" xfId="1" applyNumberFormat="1" applyFont="1"/>
    <xf numFmtId="164" fontId="2" fillId="0" borderId="0" xfId="1" applyNumberFormat="1" applyFont="1" applyBorder="1"/>
    <xf numFmtId="164" fontId="2" fillId="0" borderId="6" xfId="1" applyNumberFormat="1" applyFont="1" applyBorder="1"/>
    <xf numFmtId="0" fontId="2" fillId="0" borderId="5" xfId="3" applyFont="1" applyBorder="1"/>
    <xf numFmtId="164" fontId="2" fillId="0" borderId="5" xfId="1" applyNumberFormat="1" applyFont="1" applyBorder="1"/>
    <xf numFmtId="0" fontId="2" fillId="0" borderId="7" xfId="3" applyFont="1" applyBorder="1"/>
    <xf numFmtId="164" fontId="2" fillId="0" borderId="3" xfId="1" applyNumberFormat="1" applyFont="1" applyBorder="1"/>
    <xf numFmtId="164" fontId="2" fillId="0" borderId="4" xfId="1" applyNumberFormat="1" applyFont="1" applyBorder="1"/>
    <xf numFmtId="166" fontId="2" fillId="0" borderId="0" xfId="1" applyNumberFormat="1" applyFont="1"/>
    <xf numFmtId="0" fontId="2" fillId="5" borderId="1" xfId="3" applyFont="1" applyFill="1" applyBorder="1" applyAlignment="1">
      <alignment horizontal="left"/>
    </xf>
    <xf numFmtId="164" fontId="2" fillId="5" borderId="1" xfId="3" applyNumberFormat="1" applyFont="1" applyFill="1" applyBorder="1"/>
    <xf numFmtId="9" fontId="2" fillId="5" borderId="1" xfId="2" applyFont="1" applyFill="1" applyBorder="1"/>
    <xf numFmtId="3" fontId="2" fillId="5" borderId="1" xfId="3" applyNumberFormat="1" applyFont="1" applyFill="1" applyBorder="1"/>
    <xf numFmtId="0" fontId="2" fillId="0" borderId="7" xfId="0" applyFont="1" applyBorder="1"/>
    <xf numFmtId="0" fontId="2" fillId="4" borderId="1" xfId="3" applyFont="1" applyFill="1" applyBorder="1"/>
    <xf numFmtId="164" fontId="2" fillId="4" borderId="1" xfId="3" applyNumberFormat="1" applyFont="1" applyFill="1" applyBorder="1"/>
    <xf numFmtId="9" fontId="2" fillId="4" borderId="1" xfId="2" applyFont="1" applyFill="1" applyBorder="1"/>
    <xf numFmtId="3" fontId="2" fillId="4" borderId="1" xfId="3" applyNumberFormat="1" applyFont="1" applyFill="1" applyBorder="1"/>
    <xf numFmtId="3" fontId="2" fillId="0" borderId="1" xfId="5" applyNumberFormat="1" applyFont="1" applyBorder="1"/>
    <xf numFmtId="0" fontId="2" fillId="3" borderId="1" xfId="0" applyFont="1" applyFill="1" applyBorder="1"/>
    <xf numFmtId="3" fontId="2" fillId="3" borderId="1" xfId="5" applyNumberFormat="1" applyFont="1" applyFill="1" applyBorder="1"/>
    <xf numFmtId="1" fontId="2" fillId="3" borderId="1" xfId="3" applyNumberFormat="1" applyFont="1" applyFill="1" applyBorder="1"/>
    <xf numFmtId="164" fontId="2" fillId="4" borderId="1" xfId="1" applyNumberFormat="1" applyFont="1" applyFill="1" applyBorder="1"/>
    <xf numFmtId="164" fontId="2" fillId="4" borderId="0" xfId="1" applyNumberFormat="1" applyFont="1" applyFill="1"/>
    <xf numFmtId="164" fontId="2" fillId="5" borderId="1" xfId="1" applyNumberFormat="1" applyFont="1" applyFill="1" applyBorder="1"/>
    <xf numFmtId="0" fontId="2" fillId="0" borderId="3" xfId="3" applyFont="1" applyBorder="1"/>
    <xf numFmtId="0" fontId="2" fillId="0" borderId="0" xfId="0" applyFont="1"/>
    <xf numFmtId="164" fontId="2" fillId="4" borderId="0" xfId="1" applyNumberFormat="1" applyFont="1" applyFill="1" applyBorder="1"/>
    <xf numFmtId="3" fontId="2" fillId="5" borderId="1" xfId="2" applyNumberFormat="1" applyFont="1" applyFill="1" applyBorder="1"/>
    <xf numFmtId="0" fontId="2" fillId="0" borderId="1" xfId="6" applyFont="1" applyBorder="1"/>
    <xf numFmtId="164" fontId="0" fillId="2" borderId="1" xfId="0" applyNumberFormat="1" applyFill="1" applyBorder="1" applyAlignment="1">
      <alignment horizontal="left" indent="1"/>
    </xf>
    <xf numFmtId="164" fontId="2" fillId="6" borderId="1" xfId="3" applyNumberFormat="1" applyFont="1" applyFill="1" applyBorder="1"/>
    <xf numFmtId="9" fontId="2" fillId="6" borderId="1" xfId="2" applyFont="1" applyFill="1" applyBorder="1"/>
    <xf numFmtId="164" fontId="2" fillId="5" borderId="1" xfId="3" applyNumberFormat="1" applyFont="1" applyFill="1" applyBorder="1" applyAlignment="1">
      <alignment horizontal="center"/>
    </xf>
    <xf numFmtId="0" fontId="2" fillId="2" borderId="0" xfId="0" applyFont="1" applyFill="1" applyBorder="1"/>
    <xf numFmtId="0" fontId="2" fillId="0" borderId="8" xfId="0" applyFont="1" applyBorder="1"/>
    <xf numFmtId="9" fontId="2" fillId="5" borderId="1" xfId="2" applyFont="1" applyFill="1" applyBorder="1" applyAlignment="1">
      <alignment horizontal="center"/>
    </xf>
    <xf numFmtId="3" fontId="2" fillId="0" borderId="7" xfId="0" applyNumberFormat="1" applyFont="1" applyBorder="1"/>
    <xf numFmtId="167" fontId="2" fillId="4" borderId="1" xfId="2" applyNumberFormat="1" applyFont="1" applyFill="1" applyBorder="1"/>
    <xf numFmtId="0" fontId="2" fillId="4" borderId="0" xfId="3" applyFont="1" applyFill="1" applyBorder="1"/>
    <xf numFmtId="0" fontId="2" fillId="7" borderId="1" xfId="3" applyFont="1" applyFill="1" applyBorder="1"/>
    <xf numFmtId="164" fontId="2" fillId="7" borderId="1" xfId="3" applyNumberFormat="1" applyFont="1" applyFill="1" applyBorder="1"/>
    <xf numFmtId="3" fontId="2" fillId="7" borderId="1" xfId="3" applyNumberFormat="1" applyFont="1" applyFill="1" applyBorder="1"/>
    <xf numFmtId="3" fontId="2" fillId="4" borderId="0" xfId="3" applyNumberFormat="1" applyFont="1" applyFill="1" applyBorder="1"/>
    <xf numFmtId="9" fontId="2" fillId="0" borderId="0" xfId="2" applyFont="1" applyBorder="1"/>
    <xf numFmtId="164" fontId="11" fillId="0" borderId="1" xfId="1" applyNumberFormat="1" applyFont="1" applyBorder="1"/>
    <xf numFmtId="3" fontId="11" fillId="3" borderId="1" xfId="0" applyNumberFormat="1" applyFont="1" applyFill="1" applyBorder="1"/>
    <xf numFmtId="0" fontId="11" fillId="0" borderId="0" xfId="0" applyFont="1"/>
    <xf numFmtId="0" fontId="2" fillId="4" borderId="5" xfId="3" applyFont="1" applyFill="1" applyBorder="1"/>
    <xf numFmtId="164" fontId="2" fillId="4" borderId="5" xfId="1" applyNumberFormat="1" applyFont="1" applyFill="1" applyBorder="1"/>
    <xf numFmtId="164" fontId="11" fillId="0" borderId="0" xfId="1" applyNumberFormat="1" applyFont="1"/>
    <xf numFmtId="0" fontId="2" fillId="8" borderId="1" xfId="3" applyFont="1" applyFill="1" applyBorder="1"/>
    <xf numFmtId="164" fontId="2" fillId="8" borderId="1" xfId="3" applyNumberFormat="1" applyFont="1" applyFill="1" applyBorder="1"/>
    <xf numFmtId="9" fontId="2" fillId="8" borderId="1" xfId="2" applyFont="1" applyFill="1" applyBorder="1"/>
    <xf numFmtId="164" fontId="2" fillId="4" borderId="0" xfId="3" applyNumberFormat="1" applyFont="1" applyFill="1" applyBorder="1"/>
    <xf numFmtId="0" fontId="3" fillId="4" borderId="0" xfId="3" applyFont="1" applyFill="1" applyBorder="1"/>
    <xf numFmtId="9" fontId="2" fillId="4" borderId="0" xfId="2" applyFont="1" applyFill="1" applyBorder="1"/>
    <xf numFmtId="0" fontId="11" fillId="0" borderId="0" xfId="0" applyFont="1" applyBorder="1"/>
    <xf numFmtId="3" fontId="11" fillId="0" borderId="0" xfId="0" applyNumberFormat="1" applyFont="1" applyBorder="1"/>
    <xf numFmtId="0" fontId="3" fillId="0" borderId="0" xfId="3" applyFont="1" applyBorder="1" applyAlignment="1">
      <alignment horizontal="center" vertical="center" wrapText="1"/>
    </xf>
    <xf numFmtId="0" fontId="11" fillId="4" borderId="1" xfId="0" applyFont="1" applyFill="1" applyBorder="1" applyAlignment="1">
      <alignment vertical="center"/>
    </xf>
    <xf numFmtId="0" fontId="11" fillId="4" borderId="1" xfId="0" applyFont="1" applyFill="1" applyBorder="1"/>
    <xf numFmtId="164" fontId="2" fillId="0" borderId="1" xfId="3" applyNumberFormat="1" applyFont="1" applyBorder="1"/>
    <xf numFmtId="3" fontId="2" fillId="0" borderId="0" xfId="3" applyNumberFormat="1" applyFont="1" applyBorder="1"/>
    <xf numFmtId="0" fontId="3" fillId="0" borderId="1" xfId="3" applyFont="1" applyBorder="1" applyAlignment="1">
      <alignment horizontal="center"/>
    </xf>
    <xf numFmtId="168" fontId="3" fillId="0" borderId="1" xfId="2" applyNumberFormat="1" applyFont="1" applyBorder="1"/>
    <xf numFmtId="164" fontId="2" fillId="0" borderId="0" xfId="3" applyNumberFormat="1" applyFont="1"/>
    <xf numFmtId="0" fontId="11" fillId="4" borderId="0" xfId="0" applyFont="1" applyFill="1"/>
    <xf numFmtId="164" fontId="11" fillId="4" borderId="0" xfId="1" applyNumberFormat="1" applyFont="1" applyFill="1"/>
    <xf numFmtId="164" fontId="11" fillId="4" borderId="0" xfId="1" applyNumberFormat="1" applyFont="1" applyFill="1" applyAlignment="1">
      <alignment vertical="center"/>
    </xf>
    <xf numFmtId="0" fontId="12" fillId="4" borderId="0" xfId="0" applyFont="1" applyFill="1" applyAlignment="1">
      <alignment horizontal="left"/>
    </xf>
    <xf numFmtId="0" fontId="11" fillId="4" borderId="0" xfId="0" applyFont="1" applyFill="1" applyAlignment="1">
      <alignment horizontal="center"/>
    </xf>
    <xf numFmtId="0" fontId="11" fillId="4" borderId="0" xfId="0" applyFont="1" applyFill="1" applyAlignment="1">
      <alignment horizontal="center"/>
    </xf>
    <xf numFmtId="3" fontId="2" fillId="0" borderId="0" xfId="3" applyNumberFormat="1" applyFont="1"/>
    <xf numFmtId="0" fontId="11" fillId="4" borderId="0" xfId="0" applyFont="1" applyFill="1" applyAlignment="1">
      <alignment horizontal="left"/>
    </xf>
    <xf numFmtId="0" fontId="2" fillId="0" borderId="0" xfId="3" applyFont="1" applyAlignment="1">
      <alignment horizontal="center"/>
    </xf>
    <xf numFmtId="0" fontId="3" fillId="0" borderId="0" xfId="3" applyFont="1"/>
    <xf numFmtId="0" fontId="4" fillId="0" borderId="0" xfId="7"/>
    <xf numFmtId="0" fontId="13" fillId="0" borderId="9" xfId="7" applyFont="1" applyBorder="1"/>
    <xf numFmtId="0" fontId="13" fillId="0" borderId="10" xfId="7" applyFont="1" applyBorder="1"/>
    <xf numFmtId="0" fontId="4" fillId="0" borderId="10" xfId="7" applyBorder="1"/>
    <xf numFmtId="0" fontId="4" fillId="0" borderId="11" xfId="7" applyBorder="1"/>
    <xf numFmtId="0" fontId="3" fillId="0" borderId="12" xfId="8" applyFont="1" applyBorder="1" applyAlignment="1">
      <alignment horizontal="left"/>
    </xf>
    <xf numFmtId="0" fontId="2" fillId="4" borderId="0" xfId="8" applyFont="1" applyFill="1" applyBorder="1"/>
    <xf numFmtId="0" fontId="2" fillId="0" borderId="0" xfId="8" applyFont="1" applyBorder="1"/>
    <xf numFmtId="0" fontId="2" fillId="0" borderId="13" xfId="8" applyFont="1" applyBorder="1"/>
    <xf numFmtId="0" fontId="2" fillId="0" borderId="12" xfId="8" applyFont="1" applyBorder="1" applyAlignment="1">
      <alignment horizontal="left"/>
    </xf>
    <xf numFmtId="164" fontId="11" fillId="0" borderId="14" xfId="1" applyNumberFormat="1" applyFont="1" applyBorder="1"/>
    <xf numFmtId="0" fontId="11" fillId="0" borderId="1" xfId="9" applyFont="1" applyBorder="1"/>
    <xf numFmtId="41" fontId="2" fillId="0" borderId="0" xfId="10" applyFont="1" applyBorder="1"/>
    <xf numFmtId="164" fontId="11" fillId="0" borderId="14" xfId="1" quotePrefix="1" applyNumberFormat="1" applyFont="1" applyBorder="1"/>
    <xf numFmtId="10" fontId="11" fillId="0" borderId="1" xfId="9" applyNumberFormat="1" applyFont="1" applyFill="1" applyBorder="1" applyAlignment="1">
      <alignment vertical="center"/>
    </xf>
    <xf numFmtId="41" fontId="11" fillId="0" borderId="1" xfId="10" applyFont="1" applyBorder="1" applyAlignment="1">
      <alignment horizontal="center" vertical="center" wrapText="1"/>
    </xf>
    <xf numFmtId="41" fontId="2" fillId="4" borderId="0" xfId="10" applyFont="1" applyFill="1" applyBorder="1"/>
    <xf numFmtId="0" fontId="11" fillId="0" borderId="0" xfId="9" applyFont="1" applyBorder="1" applyAlignment="1">
      <alignment horizontal="center" vertical="center" wrapText="1"/>
    </xf>
    <xf numFmtId="41" fontId="2" fillId="0" borderId="13" xfId="8" applyNumberFormat="1" applyFont="1" applyBorder="1"/>
    <xf numFmtId="41" fontId="3" fillId="4" borderId="0" xfId="10" applyFont="1" applyFill="1" applyBorder="1" applyAlignment="1">
      <alignment horizontal="center" vertical="center"/>
    </xf>
    <xf numFmtId="0" fontId="11" fillId="0" borderId="14" xfId="9" quotePrefix="1" applyFont="1" applyBorder="1"/>
    <xf numFmtId="10" fontId="11" fillId="0" borderId="1" xfId="9" applyNumberFormat="1" applyFont="1" applyFill="1" applyBorder="1" applyAlignment="1">
      <alignment vertical="center" wrapText="1"/>
    </xf>
    <xf numFmtId="0" fontId="4" fillId="0" borderId="12" xfId="7" applyBorder="1"/>
    <xf numFmtId="0" fontId="4" fillId="0" borderId="0" xfId="7" applyBorder="1"/>
    <xf numFmtId="0" fontId="4" fillId="0" borderId="13" xfId="7" applyBorder="1"/>
    <xf numFmtId="41" fontId="11" fillId="0" borderId="1" xfId="10" applyFont="1" applyFill="1" applyBorder="1" applyAlignment="1">
      <alignment vertical="center"/>
    </xf>
    <xf numFmtId="41" fontId="11" fillId="0" borderId="1" xfId="10" applyFont="1" applyFill="1" applyBorder="1" applyAlignment="1">
      <alignment vertical="center" wrapText="1"/>
    </xf>
    <xf numFmtId="41" fontId="11" fillId="0" borderId="0" xfId="10" applyFont="1" applyFill="1" applyBorder="1" applyAlignment="1">
      <alignment vertical="center" wrapText="1"/>
    </xf>
    <xf numFmtId="0" fontId="11" fillId="0" borderId="15" xfId="9" applyFont="1" applyBorder="1"/>
    <xf numFmtId="41" fontId="0" fillId="0" borderId="16" xfId="10" applyFont="1" applyBorder="1"/>
    <xf numFmtId="0" fontId="4" fillId="0" borderId="16" xfId="7" applyBorder="1"/>
    <xf numFmtId="0" fontId="4" fillId="0" borderId="17" xfId="7" applyBorder="1"/>
    <xf numFmtId="0" fontId="2" fillId="0" borderId="0" xfId="3" quotePrefix="1" applyFont="1"/>
  </cellXfs>
  <cellStyles count="11">
    <cellStyle name="Comma" xfId="1" builtinId="3"/>
    <cellStyle name="Comma [0] 2" xfId="10"/>
    <cellStyle name="Normal" xfId="0" builtinId="0"/>
    <cellStyle name="Normal 11" xfId="4"/>
    <cellStyle name="Normal 12" xfId="5"/>
    <cellStyle name="Normal 12 2" xfId="7"/>
    <cellStyle name="Normal 4" xfId="9"/>
    <cellStyle name="Normal 6" xfId="3"/>
    <cellStyle name="Normal 6 4" xfId="8"/>
    <cellStyle name="Normal 9" xfId="6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US/Downloads/2018%20INSENTIF%20TEAM%20JSD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SD 1301"/>
      <sheetName val="JSD 1302"/>
      <sheetName val="JSD 1303"/>
      <sheetName val="JSD 1304"/>
      <sheetName val="JSD 1305"/>
      <sheetName val="JSD 1306"/>
      <sheetName val="JSD 1307"/>
      <sheetName val="JSD 1308"/>
      <sheetName val="JSD 1309"/>
      <sheetName val="JSD 1310"/>
      <sheetName val="JSD 1311"/>
      <sheetName val="JSD 1312"/>
      <sheetName val="JSD 1401"/>
      <sheetName val="JSD 1402"/>
      <sheetName val="JSD 1403"/>
      <sheetName val="JSD 1404"/>
      <sheetName val="JSD 1405"/>
      <sheetName val="JSD 1406"/>
      <sheetName val="JSD 1407"/>
      <sheetName val="JSD 1408"/>
      <sheetName val="JSD 1409"/>
      <sheetName val="JSD 1410"/>
      <sheetName val="JSD 1411"/>
      <sheetName val="JSD 1412"/>
      <sheetName val="JSD 1501"/>
      <sheetName val="JSD 1502"/>
      <sheetName val="JSD 1503"/>
      <sheetName val="JSD 1504"/>
      <sheetName val="JSD 1505"/>
      <sheetName val="JSD 1506"/>
      <sheetName val="JSD 1507"/>
      <sheetName val="JSD 1508"/>
      <sheetName val="JSD 1509"/>
      <sheetName val="JSD 1510"/>
      <sheetName val="JSD 1511"/>
      <sheetName val="JSD 1512"/>
      <sheetName val="JSD 1601"/>
      <sheetName val="powder 1601"/>
      <sheetName val="JSD 1602"/>
      <sheetName val="powder 1602"/>
      <sheetName val="JSD 1603"/>
      <sheetName val="powder 1603"/>
      <sheetName val="JSD 1604"/>
      <sheetName val="powder 1604"/>
      <sheetName val="JSD 1605"/>
      <sheetName val="powder 1605"/>
      <sheetName val="JSD 1606"/>
      <sheetName val="powder 1606"/>
      <sheetName val="JSD 1607"/>
      <sheetName val="powder 1607"/>
      <sheetName val="JSD 1608"/>
      <sheetName val="powder 1608"/>
      <sheetName val="JSD 1609"/>
      <sheetName val="powder 1609"/>
      <sheetName val="JSD 1610"/>
      <sheetName val="powder 1610"/>
      <sheetName val="JSD 1611"/>
      <sheetName val="JSD 1612"/>
      <sheetName val="JSD 1701"/>
      <sheetName val="JSD 1702"/>
      <sheetName val="JSD 1703"/>
      <sheetName val="JSD 1704"/>
      <sheetName val="JSD 1705"/>
      <sheetName val="JSD 1706"/>
      <sheetName val="JSD 1707"/>
      <sheetName val="JSD 1708"/>
      <sheetName val="JSD 1709"/>
      <sheetName val="JSD 1710"/>
      <sheetName val="JSD 1711"/>
      <sheetName val="JSD 1712"/>
      <sheetName val="MT BGR 1712"/>
      <sheetName val="JSD 1801"/>
      <sheetName val="MT BGR 1801"/>
      <sheetName val="JSD 1802"/>
      <sheetName val="MT BGR 1802"/>
      <sheetName val="JSD 1803"/>
      <sheetName val="MT BGR 1803"/>
      <sheetName val="JSD 1804"/>
      <sheetName val="MT BGR 1804"/>
      <sheetName val="JSD 1805"/>
      <sheetName val="MT BGR 1805"/>
      <sheetName val="JSD 1806"/>
      <sheetName val="MT BGR 1806"/>
      <sheetName val="JSD 1807"/>
      <sheetName val="MT BGR 1807"/>
      <sheetName val="Scheeme baru"/>
      <sheetName val="Scheme Incentive Jsd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>
        <row r="42">
          <cell r="I42">
            <v>430554.0293040293</v>
          </cell>
        </row>
      </sheetData>
      <sheetData sheetId="85"/>
      <sheetData sheetId="86"/>
      <sheetData sheetId="87"/>
      <sheetData sheetId="8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3"/>
  <sheetViews>
    <sheetView tabSelected="1" topLeftCell="A28" workbookViewId="0">
      <selection activeCell="F49" sqref="F49"/>
    </sheetView>
  </sheetViews>
  <sheetFormatPr defaultRowHeight="12.75" x14ac:dyDescent="0.2"/>
  <cols>
    <col min="1" max="1" width="10.28515625" style="5" customWidth="1"/>
    <col min="2" max="2" width="26" style="5" customWidth="1"/>
    <col min="3" max="3" width="17.140625" style="5" customWidth="1"/>
    <col min="4" max="5" width="17" style="5" customWidth="1"/>
    <col min="6" max="6" width="8.7109375" style="5" customWidth="1"/>
    <col min="7" max="7" width="13" style="5" customWidth="1"/>
    <col min="8" max="8" width="11.7109375" style="5" bestFit="1" customWidth="1"/>
    <col min="9" max="9" width="15.42578125" style="5" customWidth="1"/>
    <col min="10" max="10" width="2.28515625" style="5" customWidth="1"/>
    <col min="11" max="11" width="28.5703125" style="6" hidden="1" customWidth="1"/>
    <col min="12" max="12" width="16" style="6" hidden="1" customWidth="1"/>
    <col min="13" max="13" width="16.140625" style="6" hidden="1" customWidth="1"/>
    <col min="14" max="14" width="19.140625" style="5" hidden="1" customWidth="1"/>
    <col min="15" max="15" width="18.140625" style="7" hidden="1" customWidth="1"/>
    <col min="16" max="16" width="16.140625" style="7" hidden="1" customWidth="1"/>
    <col min="17" max="17" width="14.5703125" style="7" hidden="1" customWidth="1"/>
    <col min="18" max="19" width="29.42578125" style="7" hidden="1" customWidth="1"/>
    <col min="20" max="20" width="18.42578125" style="7" hidden="1" customWidth="1"/>
    <col min="21" max="21" width="29.7109375" style="5" bestFit="1" customWidth="1"/>
    <col min="22" max="23" width="15" style="5" bestFit="1" customWidth="1"/>
    <col min="24" max="16384" width="9.140625" style="5"/>
  </cols>
  <sheetData>
    <row r="1" spans="1:23" ht="23.25" customHeight="1" x14ac:dyDescent="0.2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3" t="s">
        <v>7</v>
      </c>
      <c r="I1" s="4" t="s">
        <v>8</v>
      </c>
      <c r="U1" s="8" t="s">
        <v>9</v>
      </c>
      <c r="V1" s="9">
        <v>7208778971.2610006</v>
      </c>
      <c r="W1" s="9">
        <v>7275382239.8476982</v>
      </c>
    </row>
    <row r="2" spans="1:23" ht="15" customHeight="1" x14ac:dyDescent="0.25">
      <c r="A2" s="10" t="s">
        <v>10</v>
      </c>
      <c r="B2" s="11" t="s">
        <v>191</v>
      </c>
      <c r="C2" s="12">
        <f>195307757+8793045</f>
        <v>204100802</v>
      </c>
      <c r="D2" s="13">
        <v>210730698.43000001</v>
      </c>
      <c r="E2" s="13">
        <v>200640403.02900001</v>
      </c>
      <c r="F2" s="14">
        <f t="shared" ref="F2:F14" si="0">+D2/C2</f>
        <v>1.0324834413438513</v>
      </c>
      <c r="G2" s="15">
        <f>+IF($F$6&lt;80%,0,IF(D2&lt;500000000,IF(F2&lt;80%,0,IF(F2&lt;90%,0.05%*E2,IF(F2&lt;100%,0.1%*E2,0.15%*E2))),IF(F2&lt;80%,0,IF(F2&lt;90%,400000,IF(F2&lt;100%,500000,700000)))))</f>
        <v>300960.60454350006</v>
      </c>
      <c r="H2" s="16"/>
      <c r="I2" s="15"/>
      <c r="L2" s="17" t="s">
        <v>12</v>
      </c>
      <c r="M2" s="17"/>
      <c r="N2" s="17"/>
      <c r="O2" s="17" t="s">
        <v>13</v>
      </c>
      <c r="P2" s="17"/>
      <c r="Q2" s="17"/>
      <c r="R2" s="17" t="s">
        <v>14</v>
      </c>
      <c r="S2" s="17"/>
      <c r="T2" s="17"/>
      <c r="U2" s="18" t="s">
        <v>15</v>
      </c>
      <c r="V2" s="13">
        <v>395749444.19999999</v>
      </c>
      <c r="W2" s="13">
        <v>408138149.54000008</v>
      </c>
    </row>
    <row r="3" spans="1:23" ht="15" customHeight="1" x14ac:dyDescent="0.3">
      <c r="A3" s="10"/>
      <c r="B3" s="10" t="s">
        <v>16</v>
      </c>
      <c r="C3" s="12">
        <v>130126889</v>
      </c>
      <c r="D3" s="13">
        <v>135170289.72799999</v>
      </c>
      <c r="E3" s="13">
        <v>132523716.41079976</v>
      </c>
      <c r="F3" s="14">
        <f t="shared" si="0"/>
        <v>1.0387575601534591</v>
      </c>
      <c r="G3" s="15">
        <f>+IF($F$6&lt;80%,0,IF(D3&lt;500000000,IF(F3&lt;80%,0,IF(F3&lt;90%,0.05%*E3,IF(F3&lt;100%,0.1%*E3,0.15%*E3))),IF(F3&lt;80%,0,IF(F3&lt;90%,400000,IF(F3&lt;100%,500000,700000)))))</f>
        <v>198785.57461619965</v>
      </c>
      <c r="H3" s="19"/>
      <c r="I3" s="15"/>
      <c r="K3" s="20" t="s">
        <v>17</v>
      </c>
      <c r="L3" s="21" t="s">
        <v>2</v>
      </c>
      <c r="M3" s="21" t="s">
        <v>18</v>
      </c>
      <c r="N3" s="21" t="s">
        <v>19</v>
      </c>
      <c r="O3" s="21" t="s">
        <v>2</v>
      </c>
      <c r="P3" s="21" t="s">
        <v>18</v>
      </c>
      <c r="Q3" s="21" t="s">
        <v>19</v>
      </c>
      <c r="R3" s="21" t="s">
        <v>2</v>
      </c>
      <c r="S3" s="21" t="s">
        <v>18</v>
      </c>
      <c r="T3" s="21" t="s">
        <v>19</v>
      </c>
      <c r="U3" s="18" t="s">
        <v>20</v>
      </c>
      <c r="V3" s="13">
        <v>748932136</v>
      </c>
      <c r="W3" s="13">
        <v>770909057.59999967</v>
      </c>
    </row>
    <row r="4" spans="1:23" ht="15" customHeight="1" x14ac:dyDescent="0.3">
      <c r="A4" s="10"/>
      <c r="B4" s="10" t="s">
        <v>21</v>
      </c>
      <c r="C4" s="16">
        <v>217670741</v>
      </c>
      <c r="D4" s="13">
        <f>133339575.6+V12</f>
        <v>179348675.59999999</v>
      </c>
      <c r="E4" s="13">
        <f>W6+W12</f>
        <v>184022007.4066</v>
      </c>
      <c r="F4" s="14">
        <f t="shared" si="0"/>
        <v>0.82394480202555098</v>
      </c>
      <c r="G4" s="15">
        <f>+IF($F$6&lt;80%,0,IF(D4&lt;500000000,IF(F4&lt;80%,0,IF(F4&lt;90%,0.05%*E4,IF(F4&lt;100%,0.1%*E4,0.15%*E4))),IF(F4&lt;80%,0,IF(F4&lt;90%,400000,IF(F4&lt;100%,500000,700000)))))</f>
        <v>92011.003703299997</v>
      </c>
      <c r="H4" s="16"/>
      <c r="I4" s="15"/>
      <c r="K4" s="22" t="s">
        <v>10</v>
      </c>
      <c r="L4" s="23">
        <v>758089489.74118388</v>
      </c>
      <c r="M4" s="23">
        <v>755286216.39800012</v>
      </c>
      <c r="N4" s="23">
        <v>737256540.03979981</v>
      </c>
      <c r="O4" s="24">
        <f>+C6</f>
        <v>1027112421</v>
      </c>
      <c r="P4" s="24">
        <f>+D6</f>
        <v>1068539191.061</v>
      </c>
      <c r="Q4" s="24">
        <f>+E6</f>
        <v>998057230.06769979</v>
      </c>
      <c r="R4" s="12">
        <f>+L4-O4</f>
        <v>-269022931.25881612</v>
      </c>
      <c r="S4" s="12">
        <f t="shared" ref="S4:T12" si="1">+M4-P4</f>
        <v>-313252974.66299987</v>
      </c>
      <c r="T4" s="12">
        <f t="shared" si="1"/>
        <v>-260800690.02789998</v>
      </c>
      <c r="U4" s="18" t="s">
        <v>22</v>
      </c>
      <c r="V4" s="13">
        <v>403052903</v>
      </c>
      <c r="W4" s="13">
        <v>413626513.30000013</v>
      </c>
    </row>
    <row r="5" spans="1:23" ht="15" customHeight="1" x14ac:dyDescent="0.3">
      <c r="A5" s="10"/>
      <c r="B5" s="10" t="s">
        <v>23</v>
      </c>
      <c r="C5" s="25">
        <v>475213989</v>
      </c>
      <c r="D5" s="25">
        <f>V9+V18+V19+V23</f>
        <v>543289527.30299997</v>
      </c>
      <c r="E5" s="25">
        <f>W9+W18+W19+W23</f>
        <v>480871103.22130001</v>
      </c>
      <c r="F5" s="14">
        <f t="shared" si="0"/>
        <v>1.1432523870903977</v>
      </c>
      <c r="G5" s="15">
        <f>'[1]MT BGR 1807'!I42</f>
        <v>430554.0293040293</v>
      </c>
      <c r="H5" s="15"/>
      <c r="I5" s="15"/>
      <c r="K5" s="22" t="s">
        <v>24</v>
      </c>
      <c r="L5" s="23">
        <v>5227738438.4698009</v>
      </c>
      <c r="M5" s="23">
        <v>4222974646.1999998</v>
      </c>
      <c r="N5" s="23">
        <v>4321354741.8799963</v>
      </c>
      <c r="O5" s="24">
        <f>+C42</f>
        <v>5634015060</v>
      </c>
      <c r="P5" s="24">
        <f>+D42</f>
        <v>5253419439.9277</v>
      </c>
      <c r="Q5" s="24">
        <f>+E42</f>
        <v>5363983155.6599998</v>
      </c>
      <c r="R5" s="12">
        <f t="shared" ref="R5:R12" si="2">+L5-O5</f>
        <v>-406276621.53019905</v>
      </c>
      <c r="S5" s="12">
        <f t="shared" si="1"/>
        <v>-1030444793.7277002</v>
      </c>
      <c r="T5" s="12">
        <f t="shared" si="1"/>
        <v>-1042628413.7800035</v>
      </c>
      <c r="U5" s="18" t="s">
        <v>11</v>
      </c>
      <c r="V5" s="13">
        <v>210730698.43000001</v>
      </c>
      <c r="W5" s="13">
        <v>200640403.02900001</v>
      </c>
    </row>
    <row r="6" spans="1:23" ht="15" customHeight="1" x14ac:dyDescent="0.3">
      <c r="A6" s="26"/>
      <c r="B6" s="26" t="s">
        <v>25</v>
      </c>
      <c r="C6" s="27">
        <f>SUM(C2:C5)</f>
        <v>1027112421</v>
      </c>
      <c r="D6" s="27">
        <f>SUM(D2:D5)</f>
        <v>1068539191.061</v>
      </c>
      <c r="E6" s="27">
        <f>SUM(E2:E5)</f>
        <v>998057230.06769979</v>
      </c>
      <c r="F6" s="28">
        <f t="shared" si="0"/>
        <v>1.0403332383232857</v>
      </c>
      <c r="G6" s="29">
        <f>+IF(F6&lt;80%,0,IF(F6&lt;90%,400000,IF(F6&lt;100%,500000,700000)))</f>
        <v>700000</v>
      </c>
      <c r="H6" s="29">
        <f>SUM(H2:H5)</f>
        <v>0</v>
      </c>
      <c r="I6" s="29"/>
      <c r="K6" s="22" t="s">
        <v>26</v>
      </c>
      <c r="L6" s="23">
        <v>2852907365.7566657</v>
      </c>
      <c r="M6" s="23">
        <v>2359354382.5999999</v>
      </c>
      <c r="N6" s="23">
        <v>2378666154.9200006</v>
      </c>
      <c r="O6" s="24">
        <f>+C52</f>
        <v>3078919169.0249987</v>
      </c>
      <c r="P6" s="24">
        <f>+D52</f>
        <v>2927711438.0599999</v>
      </c>
      <c r="Q6" s="24">
        <f>+E52</f>
        <v>2930008526.9179997</v>
      </c>
      <c r="R6" s="12">
        <f t="shared" si="2"/>
        <v>-226011803.26833296</v>
      </c>
      <c r="S6" s="12">
        <f t="shared" si="1"/>
        <v>-568357055.46000004</v>
      </c>
      <c r="T6" s="12">
        <f t="shared" si="1"/>
        <v>-551342371.99799919</v>
      </c>
      <c r="U6" s="18" t="s">
        <v>27</v>
      </c>
      <c r="V6" s="13">
        <v>133339575.59999999</v>
      </c>
      <c r="W6" s="13">
        <v>136468764.43200001</v>
      </c>
    </row>
    <row r="7" spans="1:23" ht="15" customHeight="1" x14ac:dyDescent="0.3">
      <c r="A7" s="10" t="s">
        <v>28</v>
      </c>
      <c r="B7" s="30" t="s">
        <v>15</v>
      </c>
      <c r="C7" s="25">
        <v>437342048.87249869</v>
      </c>
      <c r="D7" s="13">
        <v>395749444.19999999</v>
      </c>
      <c r="E7" s="13">
        <v>408138149.54000008</v>
      </c>
      <c r="F7" s="14">
        <f t="shared" si="0"/>
        <v>0.90489685412201359</v>
      </c>
      <c r="G7" s="15">
        <f t="shared" ref="G7:G12" si="3">+IF($F$14&lt;80%,0,IF(D7&lt;500000000,IF(F7&lt;80%,0,IF(F7&lt;90%,0.05%*E7,IF(F7&lt;100%,0.1%*E7,0.15%*E7))),IF(F7&lt;80%,0,IF(F7&lt;90%,400000,IF(F7&lt;100%,500000,700000)))))</f>
        <v>408138.14954000007</v>
      </c>
      <c r="H7" s="16"/>
      <c r="I7" s="15"/>
      <c r="K7" s="22" t="s">
        <v>29</v>
      </c>
      <c r="L7" s="23">
        <v>5790983323.5449562</v>
      </c>
      <c r="M7" s="23">
        <v>5682212212.7124996</v>
      </c>
      <c r="N7" s="23">
        <v>5847111667.4857998</v>
      </c>
      <c r="O7" s="24">
        <f>+C125</f>
        <v>6223303220.000001</v>
      </c>
      <c r="P7" s="24">
        <f>+D125</f>
        <v>5616089307.8225002</v>
      </c>
      <c r="Q7" s="24">
        <f>+E125</f>
        <v>5746613663.9735012</v>
      </c>
      <c r="R7" s="12">
        <f t="shared" si="2"/>
        <v>-432319896.45504475</v>
      </c>
      <c r="S7" s="12">
        <f t="shared" si="1"/>
        <v>66122904.88999939</v>
      </c>
      <c r="T7" s="12">
        <f t="shared" si="1"/>
        <v>100498003.51229858</v>
      </c>
      <c r="U7" s="18" t="s">
        <v>30</v>
      </c>
      <c r="V7" s="13">
        <v>398808771</v>
      </c>
      <c r="W7" s="13">
        <v>410779571.61999995</v>
      </c>
    </row>
    <row r="8" spans="1:23" ht="15" customHeight="1" x14ac:dyDescent="0.3">
      <c r="A8" s="10"/>
      <c r="B8" s="30" t="s">
        <v>20</v>
      </c>
      <c r="C8" s="25">
        <v>1115285487.009686</v>
      </c>
      <c r="D8" s="13">
        <v>748932136</v>
      </c>
      <c r="E8" s="13">
        <v>770909057.59999967</v>
      </c>
      <c r="F8" s="14">
        <f t="shared" si="0"/>
        <v>0.67151607792193546</v>
      </c>
      <c r="G8" s="15">
        <f t="shared" si="3"/>
        <v>0</v>
      </c>
      <c r="H8" s="16"/>
      <c r="I8" s="15"/>
      <c r="K8" s="22" t="s">
        <v>31</v>
      </c>
      <c r="L8" s="23">
        <v>4891176097.3787565</v>
      </c>
      <c r="M8" s="23">
        <v>5272012871.2800007</v>
      </c>
      <c r="N8" s="23">
        <v>5423656679.8700008</v>
      </c>
      <c r="O8" s="24">
        <f>+C85</f>
        <v>5286836274.7065563</v>
      </c>
      <c r="P8" s="24">
        <f>+D85</f>
        <v>4771928157.0079994</v>
      </c>
      <c r="Q8" s="24">
        <f>+E85</f>
        <v>4880669522.5708008</v>
      </c>
      <c r="R8" s="12">
        <f t="shared" si="2"/>
        <v>-395660177.3277998</v>
      </c>
      <c r="S8" s="12">
        <f t="shared" si="1"/>
        <v>500084714.27200127</v>
      </c>
      <c r="T8" s="12">
        <f t="shared" si="1"/>
        <v>542987157.29920006</v>
      </c>
      <c r="U8" s="18" t="s">
        <v>32</v>
      </c>
      <c r="V8" s="13">
        <v>146476984</v>
      </c>
      <c r="W8" s="13">
        <v>150705513.19999993</v>
      </c>
    </row>
    <row r="9" spans="1:23" ht="15" customHeight="1" x14ac:dyDescent="0.3">
      <c r="A9" s="10"/>
      <c r="B9" s="30" t="s">
        <v>22</v>
      </c>
      <c r="C9" s="25">
        <v>393093007.58031702</v>
      </c>
      <c r="D9" s="13">
        <v>403052903</v>
      </c>
      <c r="E9" s="13">
        <v>413626513.30000013</v>
      </c>
      <c r="F9" s="14">
        <f t="shared" si="0"/>
        <v>1.0253372490164379</v>
      </c>
      <c r="G9" s="15">
        <f t="shared" si="3"/>
        <v>620439.76995000022</v>
      </c>
      <c r="H9" s="16"/>
      <c r="I9" s="15"/>
      <c r="K9" s="22" t="s">
        <v>33</v>
      </c>
      <c r="L9" s="23">
        <v>2247402680.9688005</v>
      </c>
      <c r="M9" s="23">
        <v>2289533332.5</v>
      </c>
      <c r="N9" s="23">
        <v>2361783331.71</v>
      </c>
      <c r="O9" s="24">
        <f>+C110</f>
        <v>2419242904</v>
      </c>
      <c r="P9" s="24">
        <f>+D110</f>
        <v>2159791433.8000002</v>
      </c>
      <c r="Q9" s="24">
        <f>+E110</f>
        <v>2215154221.8519993</v>
      </c>
      <c r="R9" s="12">
        <f t="shared" si="2"/>
        <v>-171840223.03119946</v>
      </c>
      <c r="S9" s="12">
        <f t="shared" si="1"/>
        <v>129741898.69999981</v>
      </c>
      <c r="T9" s="12">
        <f t="shared" si="1"/>
        <v>146629109.85800076</v>
      </c>
      <c r="U9" s="18" t="s">
        <v>34</v>
      </c>
      <c r="V9" s="13">
        <v>27403023.468000002</v>
      </c>
      <c r="W9" s="13">
        <v>27404871.50280001</v>
      </c>
    </row>
    <row r="10" spans="1:23" ht="15" customHeight="1" x14ac:dyDescent="0.3">
      <c r="A10" s="10"/>
      <c r="B10" s="30" t="s">
        <v>32</v>
      </c>
      <c r="C10" s="25">
        <v>173918571.00631571</v>
      </c>
      <c r="D10" s="13">
        <v>146476984</v>
      </c>
      <c r="E10" s="13">
        <v>150705513.19999993</v>
      </c>
      <c r="F10" s="14">
        <f t="shared" si="0"/>
        <v>0.84221588961124116</v>
      </c>
      <c r="G10" s="15">
        <f t="shared" si="3"/>
        <v>75352.756599999964</v>
      </c>
      <c r="H10" s="16"/>
      <c r="I10" s="15"/>
      <c r="K10" s="22" t="s">
        <v>35</v>
      </c>
      <c r="L10" s="23">
        <v>2612458511.7441835</v>
      </c>
      <c r="M10" s="23">
        <v>2799458183.112</v>
      </c>
      <c r="N10" s="23">
        <v>2870904749.2532005</v>
      </c>
      <c r="O10" s="24">
        <f>+C101</f>
        <v>2816784437.5830541</v>
      </c>
      <c r="P10" s="24">
        <f>+D101</f>
        <v>1379565952.3199999</v>
      </c>
      <c r="Q10" s="24">
        <f>+E101</f>
        <v>1407827512.3000004</v>
      </c>
      <c r="R10" s="12">
        <f t="shared" si="2"/>
        <v>-204325925.83887053</v>
      </c>
      <c r="S10" s="12">
        <f t="shared" si="1"/>
        <v>1419892230.7920001</v>
      </c>
      <c r="T10" s="12">
        <f t="shared" si="1"/>
        <v>1463077236.9532001</v>
      </c>
      <c r="U10" s="18" t="s">
        <v>16</v>
      </c>
      <c r="V10" s="13">
        <v>135170289.72799999</v>
      </c>
      <c r="W10" s="13">
        <v>132523716.41079976</v>
      </c>
    </row>
    <row r="11" spans="1:23" ht="15" customHeight="1" x14ac:dyDescent="0.3">
      <c r="A11" s="10"/>
      <c r="B11" s="30" t="s">
        <v>36</v>
      </c>
      <c r="C11" s="25">
        <v>399105449.12498224</v>
      </c>
      <c r="D11" s="13">
        <v>414790231</v>
      </c>
      <c r="E11" s="13">
        <v>429014363.80000013</v>
      </c>
      <c r="F11" s="14">
        <f t="shared" si="0"/>
        <v>1.0392998439620551</v>
      </c>
      <c r="G11" s="15">
        <f t="shared" si="3"/>
        <v>643521.54570000025</v>
      </c>
      <c r="H11" s="16"/>
      <c r="I11" s="15"/>
      <c r="K11" s="22" t="s">
        <v>37</v>
      </c>
      <c r="L11" s="23">
        <v>4679628099.4710445</v>
      </c>
      <c r="M11" s="23">
        <v>4380079209.2999992</v>
      </c>
      <c r="N11" s="23">
        <v>4430219977.1499996</v>
      </c>
      <c r="O11" s="24">
        <f>+C62</f>
        <v>5044738200</v>
      </c>
      <c r="P11" s="24">
        <f>+D62</f>
        <v>4524640408.1000004</v>
      </c>
      <c r="Q11" s="24">
        <f>+E62</f>
        <v>4555881239.4700012</v>
      </c>
      <c r="R11" s="12">
        <f t="shared" si="2"/>
        <v>-365110100.52895546</v>
      </c>
      <c r="S11" s="12">
        <f t="shared" si="1"/>
        <v>-144561198.80000114</v>
      </c>
      <c r="T11" s="12">
        <f t="shared" si="1"/>
        <v>-125661262.3200016</v>
      </c>
      <c r="U11" s="18" t="s">
        <v>38</v>
      </c>
      <c r="V11" s="13">
        <v>271715232</v>
      </c>
      <c r="W11" s="13">
        <v>281820539.4399997</v>
      </c>
    </row>
    <row r="12" spans="1:23" ht="15" customHeight="1" x14ac:dyDescent="0.3">
      <c r="A12" s="10"/>
      <c r="B12" s="30" t="s">
        <v>39</v>
      </c>
      <c r="C12" s="25">
        <v>621912410.99373925</v>
      </c>
      <c r="D12" s="13">
        <v>550792942</v>
      </c>
      <c r="E12" s="13">
        <v>565407577.23999989</v>
      </c>
      <c r="F12" s="14">
        <f t="shared" si="0"/>
        <v>0.88564391426101452</v>
      </c>
      <c r="G12" s="15">
        <f t="shared" si="3"/>
        <v>400000</v>
      </c>
      <c r="H12" s="16"/>
      <c r="I12" s="15"/>
      <c r="K12" s="31"/>
      <c r="L12" s="32"/>
      <c r="M12" s="32"/>
      <c r="N12" s="32"/>
      <c r="O12" s="24"/>
      <c r="P12" s="24"/>
      <c r="Q12" s="24"/>
      <c r="R12" s="12">
        <f t="shared" si="2"/>
        <v>0</v>
      </c>
      <c r="S12" s="12">
        <f t="shared" si="1"/>
        <v>0</v>
      </c>
      <c r="T12" s="12">
        <f t="shared" si="1"/>
        <v>0</v>
      </c>
      <c r="U12" s="18" t="s">
        <v>21</v>
      </c>
      <c r="V12" s="13">
        <v>46009100</v>
      </c>
      <c r="W12" s="13">
        <v>47553242.974600002</v>
      </c>
    </row>
    <row r="13" spans="1:23" ht="15" customHeight="1" x14ac:dyDescent="0.3">
      <c r="A13" s="10"/>
      <c r="B13" s="30"/>
      <c r="C13" s="12"/>
      <c r="D13" s="25"/>
      <c r="E13" s="25"/>
      <c r="F13" s="14"/>
      <c r="G13" s="15"/>
      <c r="H13" s="10"/>
      <c r="I13" s="15"/>
      <c r="K13" s="33" t="s">
        <v>40</v>
      </c>
      <c r="L13" s="34">
        <f t="shared" ref="L13:T13" si="4">SUM(L4:L12)</f>
        <v>29060384007.075394</v>
      </c>
      <c r="M13" s="34">
        <f t="shared" si="4"/>
        <v>27760911054.102497</v>
      </c>
      <c r="N13" s="34">
        <f t="shared" si="4"/>
        <v>28370953842.308792</v>
      </c>
      <c r="O13" s="35">
        <f t="shared" si="4"/>
        <v>31530951686.314606</v>
      </c>
      <c r="P13" s="35">
        <f t="shared" si="4"/>
        <v>27701685328.099197</v>
      </c>
      <c r="Q13" s="35">
        <f t="shared" si="4"/>
        <v>28098195072.812</v>
      </c>
      <c r="R13" s="12">
        <f t="shared" si="4"/>
        <v>-2470567679.2392182</v>
      </c>
      <c r="S13" s="12">
        <f t="shared" si="4"/>
        <v>59225726.003299236</v>
      </c>
      <c r="T13" s="12">
        <f t="shared" si="4"/>
        <v>272758769.49679518</v>
      </c>
      <c r="U13" s="18" t="s">
        <v>41</v>
      </c>
      <c r="V13" s="13">
        <v>40800</v>
      </c>
      <c r="W13" s="13">
        <v>44880</v>
      </c>
    </row>
    <row r="14" spans="1:23" ht="15" customHeight="1" x14ac:dyDescent="0.25">
      <c r="A14" s="26"/>
      <c r="B14" s="36" t="s">
        <v>42</v>
      </c>
      <c r="C14" s="37">
        <f>SUM(C7:C13)</f>
        <v>3140656974.5875387</v>
      </c>
      <c r="D14" s="37">
        <f t="shared" ref="D14:E14" si="5">SUM(D7:D13)</f>
        <v>2659794640.1999998</v>
      </c>
      <c r="E14" s="37">
        <f t="shared" si="5"/>
        <v>2737801174.6799998</v>
      </c>
      <c r="F14" s="28">
        <f t="shared" si="0"/>
        <v>0.8468911637665586</v>
      </c>
      <c r="G14" s="29">
        <f>+IF(F14&lt;80%,0,IF(F14&lt;90%,400000,IF(F14&lt;100%,500000,700000)))</f>
        <v>400000</v>
      </c>
      <c r="H14" s="29">
        <f>SUM(H7:H12)</f>
        <v>0</v>
      </c>
      <c r="I14" s="29"/>
      <c r="K14" s="38"/>
      <c r="L14" s="39"/>
      <c r="M14" s="40"/>
      <c r="N14" s="41"/>
      <c r="U14" s="18" t="s">
        <v>43</v>
      </c>
      <c r="V14" s="13">
        <v>1546699995</v>
      </c>
      <c r="W14" s="13">
        <v>1554550255.5000002</v>
      </c>
    </row>
    <row r="15" spans="1:23" ht="15" customHeight="1" x14ac:dyDescent="0.25">
      <c r="A15" s="10"/>
      <c r="B15" s="30"/>
      <c r="C15" s="12"/>
      <c r="D15" s="25"/>
      <c r="E15" s="25"/>
      <c r="F15" s="14"/>
      <c r="G15" s="15"/>
      <c r="H15" s="10"/>
      <c r="I15" s="15"/>
      <c r="K15" s="42"/>
      <c r="L15" s="43"/>
      <c r="M15" s="44"/>
      <c r="N15" s="45"/>
      <c r="O15" s="46"/>
      <c r="P15" s="46"/>
      <c r="Q15" s="46"/>
      <c r="U15" s="18" t="s">
        <v>44</v>
      </c>
      <c r="V15" s="13">
        <v>345395292</v>
      </c>
      <c r="W15" s="13">
        <v>352231763.39999992</v>
      </c>
    </row>
    <row r="16" spans="1:23" s="7" customFormat="1" ht="15" customHeight="1" x14ac:dyDescent="0.25">
      <c r="A16" s="10"/>
      <c r="B16" s="30" t="s">
        <v>30</v>
      </c>
      <c r="C16" s="25">
        <v>400286325.50489199</v>
      </c>
      <c r="D16" s="13">
        <v>398808771</v>
      </c>
      <c r="E16" s="13">
        <v>410779571.61999995</v>
      </c>
      <c r="F16" s="14">
        <f t="shared" ref="F16:F22" si="6">+D16/C16</f>
        <v>0.99630875598103852</v>
      </c>
      <c r="G16" s="15">
        <f>+IF($F$24&lt;80%,0,IF(D16&lt;500000000,IF(F16&lt;80%,0,IF(F16&lt;90%,0.05%*E16,IF(F16&lt;100%,0.1%*E16,0.15%*E16))),IF(F16&lt;80%,0,IF(F16&lt;90%,400000,IF(F16&lt;100%,500000,700000)))))</f>
        <v>410779.57161999994</v>
      </c>
      <c r="H16" s="16"/>
      <c r="I16" s="15"/>
      <c r="J16" s="5"/>
      <c r="K16" s="38"/>
      <c r="L16" s="39"/>
      <c r="M16" s="40"/>
      <c r="N16" s="5"/>
      <c r="R16" s="47"/>
      <c r="U16" s="18" t="s">
        <v>45</v>
      </c>
      <c r="V16" s="13">
        <v>176835003</v>
      </c>
      <c r="W16" s="13">
        <v>183228807.29999998</v>
      </c>
    </row>
    <row r="17" spans="1:23" s="7" customFormat="1" ht="15" customHeight="1" x14ac:dyDescent="0.25">
      <c r="A17" s="10"/>
      <c r="B17" s="30" t="s">
        <v>38</v>
      </c>
      <c r="C17" s="25">
        <v>278195631.52615285</v>
      </c>
      <c r="D17" s="13">
        <v>271715232</v>
      </c>
      <c r="E17" s="13">
        <v>281820539.4399997</v>
      </c>
      <c r="F17" s="14">
        <f t="shared" si="6"/>
        <v>0.9767056028500446</v>
      </c>
      <c r="G17" s="15">
        <f t="shared" ref="G17:G22" si="7">+IF($F$24&lt;80%,0,IF(D17&lt;500000000,IF(F17&lt;80%,0,IF(F17&lt;90%,0.05%*E17,IF(F17&lt;100%,0.1%*E17,0.15%*E17))),IF(F17&lt;80%,0,IF(F17&lt;90%,400000,IF(F17&lt;100%,500000,700000)))))</f>
        <v>281820.53943999973</v>
      </c>
      <c r="H17" s="16"/>
      <c r="I17" s="15"/>
      <c r="J17" s="5"/>
      <c r="K17" s="42"/>
      <c r="L17" s="43"/>
      <c r="M17" s="44"/>
      <c r="N17" s="46"/>
      <c r="O17" s="46"/>
      <c r="P17" s="46"/>
      <c r="U17" s="18" t="s">
        <v>46</v>
      </c>
      <c r="V17" s="13">
        <v>414790231</v>
      </c>
      <c r="W17" s="13">
        <v>429014363.80000013</v>
      </c>
    </row>
    <row r="18" spans="1:23" s="7" customFormat="1" ht="15" customHeight="1" x14ac:dyDescent="0.25">
      <c r="A18" s="10"/>
      <c r="B18" s="30" t="s">
        <v>43</v>
      </c>
      <c r="C18" s="25">
        <v>2040512300.30617</v>
      </c>
      <c r="D18" s="13">
        <v>1546699995</v>
      </c>
      <c r="E18" s="13">
        <v>1554550255.5000002</v>
      </c>
      <c r="F18" s="14">
        <f t="shared" si="6"/>
        <v>0.75799591836222913</v>
      </c>
      <c r="G18" s="15">
        <f t="shared" si="7"/>
        <v>0</v>
      </c>
      <c r="H18" s="16"/>
      <c r="I18" s="15"/>
      <c r="J18" s="5"/>
      <c r="K18" s="42"/>
      <c r="L18" s="43"/>
      <c r="M18" s="44"/>
      <c r="N18" s="46"/>
      <c r="O18" s="46"/>
      <c r="P18" s="46"/>
      <c r="U18" s="18" t="s">
        <v>47</v>
      </c>
      <c r="V18" s="13">
        <v>31961248.210000001</v>
      </c>
      <c r="W18" s="13">
        <v>32691197.759000007</v>
      </c>
    </row>
    <row r="19" spans="1:23" s="7" customFormat="1" ht="15" customHeight="1" x14ac:dyDescent="0.25">
      <c r="A19" s="10"/>
      <c r="B19" s="30" t="s">
        <v>44</v>
      </c>
      <c r="C19" s="25">
        <v>363079048.21120119</v>
      </c>
      <c r="D19" s="13">
        <v>345395292</v>
      </c>
      <c r="E19" s="13">
        <v>352231763.39999992</v>
      </c>
      <c r="F19" s="14">
        <f t="shared" si="6"/>
        <v>0.95129502432507573</v>
      </c>
      <c r="G19" s="15">
        <f t="shared" si="7"/>
        <v>352231.76339999994</v>
      </c>
      <c r="H19" s="16"/>
      <c r="I19" s="15"/>
      <c r="J19" s="5"/>
      <c r="K19" s="42"/>
      <c r="L19" s="43"/>
      <c r="M19" s="44"/>
      <c r="N19" s="41"/>
      <c r="O19" s="48"/>
      <c r="Q19" s="49"/>
      <c r="U19" s="18" t="s">
        <v>48</v>
      </c>
      <c r="V19" s="13">
        <v>86176325.625</v>
      </c>
      <c r="W19" s="13">
        <v>75636342.787500009</v>
      </c>
    </row>
    <row r="20" spans="1:23" s="7" customFormat="1" ht="15" customHeight="1" x14ac:dyDescent="0.25">
      <c r="A20" s="10"/>
      <c r="B20" s="30" t="s">
        <v>45</v>
      </c>
      <c r="C20" s="25">
        <v>189448038.10808998</v>
      </c>
      <c r="D20" s="13">
        <v>176835003</v>
      </c>
      <c r="E20" s="13">
        <v>183228807.29999998</v>
      </c>
      <c r="F20" s="14">
        <f t="shared" si="6"/>
        <v>0.93342219199497023</v>
      </c>
      <c r="G20" s="15">
        <f t="shared" si="7"/>
        <v>183228.80729999999</v>
      </c>
      <c r="H20" s="16"/>
      <c r="I20" s="15"/>
      <c r="J20" s="5"/>
      <c r="K20" s="42"/>
      <c r="L20" s="43"/>
      <c r="M20" s="44"/>
      <c r="N20" s="43"/>
      <c r="O20" s="45"/>
      <c r="P20" s="45"/>
      <c r="Q20" s="44"/>
      <c r="U20" s="18" t="s">
        <v>49</v>
      </c>
      <c r="V20" s="13">
        <v>550792942</v>
      </c>
      <c r="W20" s="13">
        <v>565407577.23999989</v>
      </c>
    </row>
    <row r="21" spans="1:23" s="7" customFormat="1" ht="15" customHeight="1" x14ac:dyDescent="0.25">
      <c r="A21" s="10"/>
      <c r="B21" s="30" t="s">
        <v>50</v>
      </c>
      <c r="C21" s="25">
        <v>270439522.57689393</v>
      </c>
      <c r="D21" s="13">
        <v>236769734</v>
      </c>
      <c r="E21" s="13">
        <v>238338027.39999974</v>
      </c>
      <c r="F21" s="14">
        <f t="shared" si="6"/>
        <v>0.87549974849803758</v>
      </c>
      <c r="G21" s="15">
        <f t="shared" si="7"/>
        <v>119169.01369999986</v>
      </c>
      <c r="H21" s="16"/>
      <c r="I21" s="15"/>
      <c r="J21" s="5"/>
      <c r="K21" s="42"/>
      <c r="L21" s="43"/>
      <c r="M21" s="44"/>
      <c r="Q21" s="45"/>
      <c r="U21" s="18" t="s">
        <v>50</v>
      </c>
      <c r="V21" s="13">
        <v>236769734</v>
      </c>
      <c r="W21" s="13">
        <v>238338027.39999974</v>
      </c>
    </row>
    <row r="22" spans="1:23" s="7" customFormat="1" ht="15" customHeight="1" x14ac:dyDescent="0.25">
      <c r="A22" s="10"/>
      <c r="B22" s="30" t="s">
        <v>51</v>
      </c>
      <c r="C22" s="25">
        <v>808295950.3880831</v>
      </c>
      <c r="D22" s="13">
        <v>504180313</v>
      </c>
      <c r="E22" s="13">
        <v>518529990.44</v>
      </c>
      <c r="F22" s="14">
        <f t="shared" si="6"/>
        <v>0.62375706912539941</v>
      </c>
      <c r="G22" s="15">
        <f t="shared" si="7"/>
        <v>0</v>
      </c>
      <c r="H22" s="16"/>
      <c r="I22" s="15"/>
      <c r="J22" s="5"/>
      <c r="K22" s="42"/>
      <c r="L22" s="43"/>
      <c r="M22" s="44"/>
      <c r="N22" s="50"/>
      <c r="O22" s="51"/>
      <c r="P22" s="49"/>
      <c r="Q22" s="48"/>
      <c r="U22" s="18" t="s">
        <v>51</v>
      </c>
      <c r="V22" s="13">
        <v>504180313</v>
      </c>
      <c r="W22" s="13">
        <v>518529990.44</v>
      </c>
    </row>
    <row r="23" spans="1:23" s="7" customFormat="1" ht="15" customHeight="1" x14ac:dyDescent="0.25">
      <c r="A23" s="10"/>
      <c r="B23" s="30"/>
      <c r="C23" s="12"/>
      <c r="D23" s="25"/>
      <c r="E23" s="25"/>
      <c r="F23" s="14"/>
      <c r="G23" s="15"/>
      <c r="H23" s="10"/>
      <c r="I23" s="15"/>
      <c r="J23" s="5"/>
      <c r="K23" s="42"/>
      <c r="L23" s="43"/>
      <c r="M23" s="44"/>
      <c r="N23" s="51"/>
      <c r="O23" s="51"/>
      <c r="P23" s="49"/>
      <c r="Q23" s="48"/>
      <c r="U23" s="18" t="s">
        <v>52</v>
      </c>
      <c r="V23" s="13">
        <v>397748930</v>
      </c>
      <c r="W23" s="13">
        <v>345138691.17199999</v>
      </c>
    </row>
    <row r="24" spans="1:23" s="7" customFormat="1" ht="15" customHeight="1" x14ac:dyDescent="0.2">
      <c r="A24" s="26"/>
      <c r="B24" s="26" t="s">
        <v>53</v>
      </c>
      <c r="C24" s="27">
        <f>SUM(C16:C23)</f>
        <v>4350256816.6214828</v>
      </c>
      <c r="D24" s="27">
        <f t="shared" ref="D24:E24" si="8">SUM(D16:D23)</f>
        <v>3480404340</v>
      </c>
      <c r="E24" s="27">
        <f t="shared" si="8"/>
        <v>3539478955.0999999</v>
      </c>
      <c r="F24" s="28">
        <f t="shared" ref="F24" si="9">+D24/C24</f>
        <v>0.80004571838197092</v>
      </c>
      <c r="G24" s="29">
        <f>+IF(F24&lt;80%,0,IF(F24&lt;90%,400000,IF(F24&lt;100%,500000,700000)))</f>
        <v>400000</v>
      </c>
      <c r="H24" s="29">
        <f>SUM(H16:H23)</f>
        <v>0</v>
      </c>
      <c r="I24" s="29"/>
      <c r="J24" s="5"/>
      <c r="K24" s="42"/>
      <c r="L24" s="43"/>
      <c r="M24" s="44"/>
      <c r="N24" s="50"/>
      <c r="O24" s="51"/>
      <c r="P24" s="49"/>
      <c r="Q24" s="48"/>
      <c r="U24" s="7">
        <f>C24*0.8</f>
        <v>3480205453.2971864</v>
      </c>
    </row>
    <row r="25" spans="1:23" s="7" customFormat="1" ht="15" customHeight="1" x14ac:dyDescent="0.2">
      <c r="A25" s="10"/>
      <c r="B25" s="30"/>
      <c r="C25" s="12"/>
      <c r="D25" s="12"/>
      <c r="E25" s="12"/>
      <c r="F25" s="14"/>
      <c r="G25" s="15"/>
      <c r="H25" s="10"/>
      <c r="I25" s="15"/>
      <c r="J25" s="5"/>
      <c r="K25" s="42"/>
      <c r="L25" s="43"/>
      <c r="M25" s="44"/>
      <c r="N25" s="52"/>
      <c r="O25" s="53"/>
      <c r="P25" s="54"/>
      <c r="Q25" s="48"/>
      <c r="U25" s="55">
        <f>D24/C24</f>
        <v>0.80004571838197092</v>
      </c>
    </row>
    <row r="26" spans="1:23" s="7" customFormat="1" ht="15" customHeight="1" x14ac:dyDescent="0.2">
      <c r="A26" s="56" t="s">
        <v>54</v>
      </c>
      <c r="B26" s="56"/>
      <c r="C26" s="57">
        <f>+C6+C14+C24</f>
        <v>8518026212.2090216</v>
      </c>
      <c r="D26" s="57">
        <f>+D6+D14+D24</f>
        <v>7208738171.2609997</v>
      </c>
      <c r="E26" s="57">
        <f>+E6+E14+E24</f>
        <v>7275337359.8477001</v>
      </c>
      <c r="F26" s="58">
        <f>+D26/C26</f>
        <v>0.84629208594458205</v>
      </c>
      <c r="G26" s="57">
        <f>SUM(G2:G25)</f>
        <v>6016993.1294170273</v>
      </c>
      <c r="H26" s="59">
        <f>+H6+H14+H24</f>
        <v>0</v>
      </c>
      <c r="I26" s="57"/>
      <c r="J26" s="5"/>
      <c r="K26" s="60"/>
      <c r="L26" s="39"/>
      <c r="M26" s="40"/>
      <c r="N26" s="41"/>
      <c r="O26" s="41"/>
      <c r="P26" s="45"/>
      <c r="Q26" s="45"/>
    </row>
    <row r="27" spans="1:23" s="7" customFormat="1" ht="15" customHeight="1" x14ac:dyDescent="0.2">
      <c r="A27" s="61"/>
      <c r="B27" s="61"/>
      <c r="C27" s="62"/>
      <c r="D27" s="62"/>
      <c r="E27" s="62"/>
      <c r="F27" s="63"/>
      <c r="G27" s="64"/>
      <c r="H27" s="10"/>
      <c r="I27" s="64"/>
      <c r="J27" s="5"/>
      <c r="K27" s="41"/>
      <c r="L27" s="45"/>
      <c r="M27" s="45"/>
      <c r="N27" s="6"/>
      <c r="Q27" s="45"/>
    </row>
    <row r="28" spans="1:23" s="7" customFormat="1" ht="15" customHeight="1" x14ac:dyDescent="0.25">
      <c r="A28" s="10" t="s">
        <v>24</v>
      </c>
      <c r="B28" s="11" t="s">
        <v>55</v>
      </c>
      <c r="C28" s="12">
        <v>168266630.12289762</v>
      </c>
      <c r="D28" s="13">
        <v>99072406.727699995</v>
      </c>
      <c r="E28" s="13">
        <v>99824044.899999991</v>
      </c>
      <c r="F28" s="14">
        <f t="shared" ref="F28:F29" si="10">+D28/C28</f>
        <v>0.58878225977034215</v>
      </c>
      <c r="G28" s="15">
        <f>+IF($F$31&lt;80%,0,IF(D28&lt;500000000,IF(F28&lt;80%,0,IF(F28&lt;90%,0.05%*E28,IF(F28&lt;100%,0.1%*E28,0.15%*E28))),IF(F28&lt;80%,0,IF(F28&lt;90%,400000,IF(F28&lt;100%,500000,700000)))))</f>
        <v>0</v>
      </c>
      <c r="H28" s="16"/>
      <c r="I28" s="15"/>
      <c r="J28" s="5"/>
      <c r="K28" s="42"/>
      <c r="L28" s="43"/>
      <c r="M28" s="44"/>
      <c r="N28" s="5"/>
      <c r="Q28" s="48"/>
      <c r="U28" s="8" t="s">
        <v>24</v>
      </c>
      <c r="V28" s="9">
        <v>5500593979.9277</v>
      </c>
      <c r="W28" s="9">
        <v>5618088083.6600008</v>
      </c>
    </row>
    <row r="29" spans="1:23" s="7" customFormat="1" ht="15" customHeight="1" x14ac:dyDescent="0.25">
      <c r="A29" s="10"/>
      <c r="B29" s="11" t="s">
        <v>56</v>
      </c>
      <c r="C29" s="12">
        <v>93953201.663165405</v>
      </c>
      <c r="D29" s="13">
        <v>3960000</v>
      </c>
      <c r="E29" s="13">
        <v>4181760</v>
      </c>
      <c r="F29" s="14">
        <f t="shared" si="10"/>
        <v>4.2148643472493051E-2</v>
      </c>
      <c r="G29" s="15">
        <f>+IF($F$31&lt;80%,0,IF(D29&lt;500000000,IF(F29&lt;80%,0,IF(F29&lt;90%,0.05%*E29,IF(F29&lt;100%,0.1%*E29,0.15%*E29))),IF(F29&lt;80%,0,IF(F29&lt;90%,400000,IF(F29&lt;100%,500000,700000)))))</f>
        <v>0</v>
      </c>
      <c r="H29" s="16"/>
      <c r="I29" s="15"/>
      <c r="J29" s="5"/>
      <c r="K29" s="42"/>
      <c r="L29" s="43"/>
      <c r="M29" s="44"/>
      <c r="N29" s="46"/>
      <c r="O29" s="46"/>
      <c r="P29" s="46"/>
      <c r="Q29" s="44"/>
      <c r="U29" s="18" t="s">
        <v>57</v>
      </c>
      <c r="V29" s="13">
        <v>1134024198</v>
      </c>
      <c r="W29" s="13">
        <v>1160162655.3000002</v>
      </c>
    </row>
    <row r="30" spans="1:23" s="7" customFormat="1" ht="15" customHeight="1" x14ac:dyDescent="0.25">
      <c r="A30" s="10"/>
      <c r="B30" s="11"/>
      <c r="C30" s="12"/>
      <c r="D30" s="12"/>
      <c r="E30" s="65"/>
      <c r="F30" s="14"/>
      <c r="G30" s="15"/>
      <c r="H30" s="10"/>
      <c r="I30" s="15"/>
      <c r="J30" s="5"/>
      <c r="K30" s="42"/>
      <c r="L30" s="43"/>
      <c r="M30" s="44"/>
      <c r="N30" s="41"/>
      <c r="O30" s="45"/>
      <c r="P30" s="45"/>
      <c r="Q30" s="49"/>
      <c r="U30" s="18" t="s">
        <v>58</v>
      </c>
      <c r="V30" s="13">
        <v>504091453</v>
      </c>
      <c r="W30" s="13">
        <v>516238445.57999998</v>
      </c>
    </row>
    <row r="31" spans="1:23" s="7" customFormat="1" ht="15" customHeight="1" x14ac:dyDescent="0.25">
      <c r="A31" s="26"/>
      <c r="B31" s="66" t="s">
        <v>59</v>
      </c>
      <c r="C31" s="67">
        <f>SUM(C28:C30)</f>
        <v>262219831.78606302</v>
      </c>
      <c r="D31" s="67">
        <f>SUM(D28:D30)</f>
        <v>103032406.7277</v>
      </c>
      <c r="E31" s="67">
        <f>SUM(E28:E30)</f>
        <v>104005804.89999999</v>
      </c>
      <c r="F31" s="28">
        <f t="shared" ref="F31:F40" si="11">+D31/C31</f>
        <v>0.39292377706870363</v>
      </c>
      <c r="G31" s="29">
        <f>+IF(F31&lt;80%,0,IF(F31&lt;90%,100000,IF(F31&lt;100%,200000,300000)))</f>
        <v>0</v>
      </c>
      <c r="H31" s="68">
        <f>SUM(H28:H30)</f>
        <v>0</v>
      </c>
      <c r="I31" s="29"/>
      <c r="J31" s="5"/>
      <c r="K31" s="41"/>
      <c r="L31" s="45"/>
      <c r="M31" s="45"/>
      <c r="N31" s="41"/>
      <c r="O31" s="45"/>
      <c r="P31" s="45"/>
      <c r="Q31" s="44"/>
      <c r="U31" s="18" t="s">
        <v>60</v>
      </c>
      <c r="V31" s="13">
        <v>452851090</v>
      </c>
      <c r="W31" s="13">
        <v>463224391.9599998</v>
      </c>
    </row>
    <row r="32" spans="1:23" s="7" customFormat="1" ht="15" customHeight="1" x14ac:dyDescent="0.25">
      <c r="A32" s="10"/>
      <c r="B32" s="11" t="s">
        <v>61</v>
      </c>
      <c r="C32" s="12">
        <v>141443808.41269287</v>
      </c>
      <c r="D32" s="13">
        <v>247174540</v>
      </c>
      <c r="E32" s="13">
        <v>254104927.99999985</v>
      </c>
      <c r="F32" s="14">
        <f t="shared" si="11"/>
        <v>1.7475104974465541</v>
      </c>
      <c r="G32" s="15">
        <f t="shared" ref="G32:G39" si="12">+IF($F$40&lt;80%,0,IF(D32&lt;500000000,IF(F32&lt;80%,0,IF(F32&lt;90%,0.05%*E32,IF(F32&lt;100%,0.1%*E32,0.15%*E32))),IF(F32&lt;80%,0,IF(F32&lt;90%,400000,IF(F32&lt;100%,500000,700000)))))</f>
        <v>381157.39199999976</v>
      </c>
      <c r="H32" s="10"/>
      <c r="I32" s="15"/>
      <c r="J32" s="5"/>
      <c r="K32" s="42"/>
      <c r="L32" s="43"/>
      <c r="M32" s="44"/>
      <c r="N32" s="41"/>
      <c r="O32" s="45"/>
      <c r="P32" s="45"/>
      <c r="Q32" s="44"/>
      <c r="U32" s="18" t="s">
        <v>55</v>
      </c>
      <c r="V32" s="13">
        <v>99072406.727699995</v>
      </c>
      <c r="W32" s="13">
        <v>99824044.899999991</v>
      </c>
    </row>
    <row r="33" spans="1:23" ht="15" customHeight="1" x14ac:dyDescent="0.25">
      <c r="A33" s="10"/>
      <c r="B33" s="11" t="s">
        <v>57</v>
      </c>
      <c r="C33" s="12">
        <v>1154932180.4128003</v>
      </c>
      <c r="D33" s="13">
        <v>1134024198</v>
      </c>
      <c r="E33" s="13">
        <v>1160162655.3000002</v>
      </c>
      <c r="F33" s="14">
        <f t="shared" si="11"/>
        <v>0.98189678773577227</v>
      </c>
      <c r="G33" s="15">
        <f t="shared" si="12"/>
        <v>500000</v>
      </c>
      <c r="H33" s="16"/>
      <c r="I33" s="15"/>
      <c r="K33" s="38"/>
      <c r="L33" s="39"/>
      <c r="M33" s="40"/>
      <c r="Q33" s="49"/>
      <c r="U33" s="18" t="s">
        <v>62</v>
      </c>
      <c r="V33" s="13">
        <v>3960000</v>
      </c>
      <c r="W33" s="13">
        <v>4181760</v>
      </c>
    </row>
    <row r="34" spans="1:23" ht="15" customHeight="1" x14ac:dyDescent="0.25">
      <c r="A34" s="10"/>
      <c r="B34" s="11" t="s">
        <v>58</v>
      </c>
      <c r="C34" s="12">
        <v>471152276.15577644</v>
      </c>
      <c r="D34" s="13">
        <v>504091453</v>
      </c>
      <c r="E34" s="13">
        <v>516238445.57999998</v>
      </c>
      <c r="F34" s="14">
        <f t="shared" si="11"/>
        <v>1.0699119552450871</v>
      </c>
      <c r="G34" s="15">
        <f t="shared" si="12"/>
        <v>700000</v>
      </c>
      <c r="H34" s="16"/>
      <c r="I34" s="15"/>
      <c r="K34" s="42"/>
      <c r="L34" s="43"/>
      <c r="M34" s="44"/>
      <c r="N34" s="48"/>
      <c r="U34" s="18" t="s">
        <v>63</v>
      </c>
      <c r="V34" s="13">
        <v>686705434</v>
      </c>
      <c r="W34" s="13">
        <v>705375018.04000032</v>
      </c>
    </row>
    <row r="35" spans="1:23" ht="15" customHeight="1" x14ac:dyDescent="0.25">
      <c r="A35" s="10"/>
      <c r="B35" s="11" t="s">
        <v>60</v>
      </c>
      <c r="C35" s="12">
        <v>419863984.62564248</v>
      </c>
      <c r="D35" s="13">
        <v>452851090</v>
      </c>
      <c r="E35" s="13">
        <v>463224391.9599998</v>
      </c>
      <c r="F35" s="14">
        <f t="shared" si="11"/>
        <v>1.0785661704320015</v>
      </c>
      <c r="G35" s="15">
        <f t="shared" si="12"/>
        <v>694836.58793999976</v>
      </c>
      <c r="H35" s="16"/>
      <c r="I35" s="15"/>
      <c r="K35" s="42"/>
      <c r="L35" s="43"/>
      <c r="M35" s="44"/>
      <c r="N35" s="45"/>
      <c r="O35" s="45"/>
      <c r="P35" s="48"/>
      <c r="Q35" s="45"/>
      <c r="U35" s="18" t="s">
        <v>64</v>
      </c>
      <c r="V35" s="13">
        <v>624091777.20000005</v>
      </c>
      <c r="W35" s="13">
        <v>642351405.08000016</v>
      </c>
    </row>
    <row r="36" spans="1:23" ht="15" customHeight="1" x14ac:dyDescent="0.25">
      <c r="A36" s="10"/>
      <c r="B36" s="11" t="s">
        <v>63</v>
      </c>
      <c r="C36" s="12">
        <v>641192901.13349164</v>
      </c>
      <c r="D36" s="13">
        <v>686705434</v>
      </c>
      <c r="E36" s="13">
        <v>705375018.04000032</v>
      </c>
      <c r="F36" s="14">
        <f t="shared" si="11"/>
        <v>1.070981030491841</v>
      </c>
      <c r="G36" s="15">
        <f t="shared" si="12"/>
        <v>700000</v>
      </c>
      <c r="H36" s="16"/>
      <c r="I36" s="15"/>
      <c r="K36" s="42"/>
      <c r="L36" s="43"/>
      <c r="M36" s="44"/>
      <c r="N36" s="51"/>
      <c r="U36" s="18" t="s">
        <v>65</v>
      </c>
      <c r="V36" s="13">
        <v>247174540</v>
      </c>
      <c r="W36" s="13">
        <v>254104927.99999985</v>
      </c>
    </row>
    <row r="37" spans="1:23" ht="15" customHeight="1" x14ac:dyDescent="0.25">
      <c r="A37" s="10"/>
      <c r="B37" s="11" t="s">
        <v>64</v>
      </c>
      <c r="C37" s="12">
        <v>620598435.02345622</v>
      </c>
      <c r="D37" s="13">
        <v>624091777.20000005</v>
      </c>
      <c r="E37" s="13">
        <v>642351405.08000016</v>
      </c>
      <c r="F37" s="14">
        <f t="shared" si="11"/>
        <v>1.005628989664487</v>
      </c>
      <c r="G37" s="15">
        <f t="shared" si="12"/>
        <v>700000</v>
      </c>
      <c r="H37" s="16"/>
      <c r="I37" s="15"/>
      <c r="K37" s="42"/>
      <c r="L37" s="43"/>
      <c r="M37" s="44"/>
      <c r="N37" s="48"/>
      <c r="U37" s="18" t="s">
        <v>66</v>
      </c>
      <c r="V37" s="13">
        <v>384231582</v>
      </c>
      <c r="W37" s="13">
        <v>395449283.89999986</v>
      </c>
    </row>
    <row r="38" spans="1:23" ht="15" customHeight="1" x14ac:dyDescent="0.25">
      <c r="A38" s="10"/>
      <c r="B38" s="11" t="s">
        <v>67</v>
      </c>
      <c r="C38" s="12">
        <v>391912239.28053534</v>
      </c>
      <c r="D38" s="13">
        <v>384231582</v>
      </c>
      <c r="E38" s="13">
        <v>395449283.89999986</v>
      </c>
      <c r="F38" s="14">
        <f t="shared" si="11"/>
        <v>0.98040209896318797</v>
      </c>
      <c r="G38" s="15">
        <f t="shared" si="12"/>
        <v>395449.28389999986</v>
      </c>
      <c r="H38" s="16"/>
      <c r="I38" s="15"/>
      <c r="K38" s="42"/>
      <c r="L38" s="43"/>
      <c r="M38" s="44"/>
      <c r="N38" s="41"/>
      <c r="U38" s="18" t="s">
        <v>68</v>
      </c>
      <c r="V38" s="13">
        <v>1364391499</v>
      </c>
      <c r="W38" s="13">
        <v>1377176150.9000003</v>
      </c>
    </row>
    <row r="39" spans="1:23" ht="15" customHeight="1" x14ac:dyDescent="0.25">
      <c r="A39" s="10"/>
      <c r="B39" s="11" t="s">
        <v>68</v>
      </c>
      <c r="C39" s="12">
        <v>1530699403.1695416</v>
      </c>
      <c r="D39" s="13">
        <v>1364391499</v>
      </c>
      <c r="E39" s="13">
        <v>1377176150.9000003</v>
      </c>
      <c r="F39" s="14">
        <f t="shared" si="11"/>
        <v>0.89135168941388732</v>
      </c>
      <c r="G39" s="15">
        <f t="shared" si="12"/>
        <v>400000</v>
      </c>
      <c r="H39" s="16"/>
      <c r="I39" s="15"/>
      <c r="K39" s="42"/>
      <c r="L39" s="43"/>
      <c r="M39" s="44"/>
    </row>
    <row r="40" spans="1:23" ht="15" customHeight="1" x14ac:dyDescent="0.2">
      <c r="A40" s="26"/>
      <c r="B40" s="26" t="s">
        <v>69</v>
      </c>
      <c r="C40" s="37">
        <f>SUM(C32:C39)</f>
        <v>5371795228.2139368</v>
      </c>
      <c r="D40" s="37">
        <f>SUM(D33:D39)</f>
        <v>5150387033.1999998</v>
      </c>
      <c r="E40" s="37">
        <f>SUM(E33:E39)</f>
        <v>5259977350.7600002</v>
      </c>
      <c r="F40" s="28">
        <f t="shared" si="11"/>
        <v>0.95878320270827733</v>
      </c>
      <c r="G40" s="29">
        <f>+IF(F40&lt;80%,0,IF(F40&lt;90%,400000,IF(F40&lt;100%,500000,700000)))</f>
        <v>500000</v>
      </c>
      <c r="H40" s="29">
        <f>SUM(H33:H39)</f>
        <v>0</v>
      </c>
      <c r="I40" s="29"/>
      <c r="K40" s="41"/>
      <c r="L40" s="45"/>
      <c r="M40" s="45"/>
    </row>
    <row r="41" spans="1:23" s="46" customFormat="1" ht="15" customHeight="1" x14ac:dyDescent="0.2">
      <c r="A41" s="61"/>
      <c r="B41" s="61"/>
      <c r="C41" s="69"/>
      <c r="D41" s="64"/>
      <c r="E41" s="64"/>
      <c r="F41" s="63"/>
      <c r="G41" s="64"/>
      <c r="H41" s="61"/>
      <c r="I41" s="64"/>
      <c r="K41" s="41"/>
      <c r="L41" s="45"/>
      <c r="M41" s="45"/>
      <c r="R41" s="70"/>
      <c r="S41" s="70"/>
      <c r="T41" s="70"/>
    </row>
    <row r="42" spans="1:23" ht="15" customHeight="1" x14ac:dyDescent="0.2">
      <c r="A42" s="56" t="s">
        <v>70</v>
      </c>
      <c r="B42" s="56"/>
      <c r="C42" s="71">
        <f>+C31+C40</f>
        <v>5634015060</v>
      </c>
      <c r="D42" s="71">
        <f>+D31+D40</f>
        <v>5253419439.9277</v>
      </c>
      <c r="E42" s="71">
        <f>+E31+E40</f>
        <v>5363983155.6599998</v>
      </c>
      <c r="F42" s="58">
        <f>+D42/C42</f>
        <v>0.93244682237816023</v>
      </c>
      <c r="G42" s="71">
        <f>SUM(G28:G40)</f>
        <v>4971443.2638399992</v>
      </c>
      <c r="H42" s="59">
        <f>+H31+H40</f>
        <v>0</v>
      </c>
      <c r="I42" s="71"/>
      <c r="K42" s="42"/>
      <c r="L42" s="43"/>
      <c r="M42" s="44"/>
      <c r="N42" s="72"/>
      <c r="O42" s="6"/>
      <c r="P42" s="6"/>
    </row>
    <row r="43" spans="1:23" ht="15" customHeight="1" x14ac:dyDescent="0.2">
      <c r="A43" s="61"/>
      <c r="B43" s="61"/>
      <c r="C43" s="69"/>
      <c r="D43" s="64"/>
      <c r="E43" s="64"/>
      <c r="F43" s="63"/>
      <c r="G43" s="15"/>
      <c r="H43" s="10"/>
      <c r="I43" s="15"/>
      <c r="K43" s="42"/>
      <c r="L43" s="43"/>
      <c r="M43" s="44"/>
      <c r="N43" s="73"/>
      <c r="O43" s="6"/>
      <c r="P43" s="6"/>
    </row>
    <row r="44" spans="1:23" ht="15" customHeight="1" x14ac:dyDescent="0.25">
      <c r="A44" s="10" t="s">
        <v>26</v>
      </c>
      <c r="B44" s="11" t="s">
        <v>71</v>
      </c>
      <c r="C44" s="12">
        <v>313126998.77194315</v>
      </c>
      <c r="D44" s="13">
        <v>342487443.60000002</v>
      </c>
      <c r="E44" s="13">
        <v>348073770.65999997</v>
      </c>
      <c r="F44" s="14">
        <f t="shared" ref="F44:F49" si="13">+D44/C44</f>
        <v>1.0937652931341149</v>
      </c>
      <c r="G44" s="15">
        <f>+IF($F$51&lt;80%,0,IF(D44&lt;500000000,IF(F44&lt;80%,0,IF(F44&lt;90%,0.05%*E44,IF(F44&lt;100%,0.1%*E44,0.15%*E44))),IF(F44&lt;80%,0,IF(F44&lt;90%,400000,IF(F44&lt;100%,500000,700000)))))</f>
        <v>522110.65598999994</v>
      </c>
      <c r="H44" s="16"/>
      <c r="I44" s="15"/>
      <c r="K44" s="38"/>
      <c r="L44" s="39"/>
      <c r="M44" s="40"/>
      <c r="N44" s="39"/>
      <c r="O44" s="48"/>
      <c r="P44" s="48"/>
      <c r="Q44" s="5"/>
      <c r="U44" s="8" t="s">
        <v>26</v>
      </c>
      <c r="V44" s="9">
        <v>2928503438.0599999</v>
      </c>
      <c r="W44" s="9">
        <v>2930879726.9179997</v>
      </c>
    </row>
    <row r="45" spans="1:23" ht="15" customHeight="1" x14ac:dyDescent="0.25">
      <c r="A45" s="10"/>
      <c r="B45" s="11" t="s">
        <v>72</v>
      </c>
      <c r="C45" s="12">
        <v>973400242.10563719</v>
      </c>
      <c r="D45" s="13">
        <v>715059601</v>
      </c>
      <c r="E45" s="13">
        <v>718675523.49999976</v>
      </c>
      <c r="F45" s="14">
        <f>+D45/C45</f>
        <v>0.7345997772233952</v>
      </c>
      <c r="G45" s="15">
        <f t="shared" ref="G45:G49" si="14">+IF($F$51&lt;80%,0,IF(D45&lt;500000000,IF(F45&lt;80%,0,IF(F45&lt;90%,0.05%*E45,IF(F45&lt;100%,0.1%*E45,0.15%*E45))),IF(F45&lt;80%,0,IF(F45&lt;90%,400000,IF(F45&lt;100%,500000,700000)))))</f>
        <v>0</v>
      </c>
      <c r="H45" s="16"/>
      <c r="I45" s="15"/>
      <c r="K45" s="42"/>
      <c r="L45" s="43"/>
      <c r="M45" s="44"/>
      <c r="N45" s="42"/>
      <c r="O45" s="48"/>
      <c r="P45" s="48"/>
      <c r="U45" s="18" t="s">
        <v>71</v>
      </c>
      <c r="V45" s="13">
        <v>342487443.60000002</v>
      </c>
      <c r="W45" s="13">
        <v>348073770.65999997</v>
      </c>
    </row>
    <row r="46" spans="1:23" ht="15" customHeight="1" x14ac:dyDescent="0.25">
      <c r="A46" s="10"/>
      <c r="B46" s="11" t="s">
        <v>73</v>
      </c>
      <c r="C46" s="12">
        <v>392813471.89707994</v>
      </c>
      <c r="D46" s="13">
        <v>403638036</v>
      </c>
      <c r="E46" s="13">
        <v>418163932.99999994</v>
      </c>
      <c r="F46" s="14">
        <v>0.8</v>
      </c>
      <c r="G46" s="15">
        <f t="shared" si="14"/>
        <v>209081.96649999998</v>
      </c>
      <c r="H46" s="16"/>
      <c r="I46" s="15"/>
      <c r="K46" s="42"/>
      <c r="L46" s="43"/>
      <c r="M46" s="44"/>
      <c r="N46" s="43"/>
      <c r="O46" s="45"/>
      <c r="P46" s="45"/>
      <c r="Q46" s="5"/>
      <c r="U46" s="18" t="s">
        <v>74</v>
      </c>
      <c r="V46" s="13">
        <v>792000</v>
      </c>
      <c r="W46" s="13">
        <v>871200</v>
      </c>
    </row>
    <row r="47" spans="1:23" ht="15" customHeight="1" x14ac:dyDescent="0.25">
      <c r="A47" s="10"/>
      <c r="B47" s="11" t="s">
        <v>75</v>
      </c>
      <c r="C47" s="12">
        <v>51716477.19243598</v>
      </c>
      <c r="D47" s="13">
        <v>38590137.460000001</v>
      </c>
      <c r="E47" s="13">
        <v>37911025.878000006</v>
      </c>
      <c r="F47" s="14">
        <f>+D47/C47</f>
        <v>0.74618650679563636</v>
      </c>
      <c r="G47" s="15">
        <f t="shared" si="14"/>
        <v>0</v>
      </c>
      <c r="H47" s="16"/>
      <c r="I47" s="15"/>
      <c r="K47" s="42"/>
      <c r="L47" s="43"/>
      <c r="M47" s="44"/>
      <c r="N47" s="6"/>
      <c r="O47" s="6"/>
      <c r="P47" s="6"/>
      <c r="Q47" s="5"/>
      <c r="U47" s="18" t="s">
        <v>72</v>
      </c>
      <c r="V47" s="13">
        <v>715059601</v>
      </c>
      <c r="W47" s="13">
        <v>718675523.49999976</v>
      </c>
    </row>
    <row r="48" spans="1:23" ht="15" customHeight="1" x14ac:dyDescent="0.25">
      <c r="A48" s="10"/>
      <c r="B48" s="11" t="s">
        <v>76</v>
      </c>
      <c r="C48" s="12">
        <v>249334437.29945418</v>
      </c>
      <c r="D48" s="13">
        <v>312721740</v>
      </c>
      <c r="E48" s="13">
        <v>322411210.88000017</v>
      </c>
      <c r="F48" s="14">
        <f>+D48/C48</f>
        <v>1.2542260242391499</v>
      </c>
      <c r="G48" s="15">
        <f t="shared" si="14"/>
        <v>483616.81632000027</v>
      </c>
      <c r="H48" s="16"/>
      <c r="I48" s="15"/>
      <c r="K48" s="42"/>
      <c r="L48" s="43"/>
      <c r="M48" s="44"/>
      <c r="N48" s="42"/>
      <c r="O48" s="41"/>
      <c r="P48" s="45"/>
      <c r="Q48" s="5"/>
      <c r="U48" s="18" t="s">
        <v>73</v>
      </c>
      <c r="V48" s="13">
        <v>403638036</v>
      </c>
      <c r="W48" s="13">
        <v>418163932.99999994</v>
      </c>
    </row>
    <row r="49" spans="1:23" ht="15" customHeight="1" x14ac:dyDescent="0.25">
      <c r="A49" s="10"/>
      <c r="B49" s="11" t="s">
        <v>77</v>
      </c>
      <c r="C49" s="12">
        <v>1098527541.7584479</v>
      </c>
      <c r="D49" s="13">
        <v>1115214480</v>
      </c>
      <c r="E49" s="13">
        <v>1084773063</v>
      </c>
      <c r="F49" s="14">
        <f t="shared" si="13"/>
        <v>1.0151902775371848</v>
      </c>
      <c r="G49" s="15">
        <f t="shared" si="14"/>
        <v>700000</v>
      </c>
      <c r="H49" s="16"/>
      <c r="I49" s="15"/>
      <c r="K49" s="42"/>
      <c r="L49" s="43"/>
      <c r="M49" s="44"/>
      <c r="N49" s="42"/>
      <c r="O49" s="5"/>
      <c r="P49" s="5"/>
      <c r="Q49" s="5"/>
      <c r="U49" s="18" t="s">
        <v>75</v>
      </c>
      <c r="V49" s="13">
        <v>38590137.460000001</v>
      </c>
      <c r="W49" s="13">
        <v>37911025.878000006</v>
      </c>
    </row>
    <row r="50" spans="1:23" ht="15" customHeight="1" x14ac:dyDescent="0.25">
      <c r="A50" s="10"/>
      <c r="B50" s="11"/>
      <c r="C50" s="12"/>
      <c r="D50" s="16"/>
      <c r="E50" s="16"/>
      <c r="F50" s="14"/>
      <c r="G50" s="15"/>
      <c r="H50" s="10"/>
      <c r="I50" s="15"/>
      <c r="K50" s="42"/>
      <c r="L50" s="43"/>
      <c r="M50" s="44"/>
      <c r="N50" s="41"/>
      <c r="O50" s="48"/>
      <c r="P50" s="48"/>
      <c r="Q50" s="6"/>
      <c r="R50" s="48"/>
      <c r="U50" s="18" t="s">
        <v>76</v>
      </c>
      <c r="V50" s="13">
        <v>312721740</v>
      </c>
      <c r="W50" s="13">
        <v>322411210.88000017</v>
      </c>
    </row>
    <row r="51" spans="1:23" ht="15" customHeight="1" x14ac:dyDescent="0.25">
      <c r="A51" s="26"/>
      <c r="B51" s="26" t="s">
        <v>78</v>
      </c>
      <c r="C51" s="27">
        <f>SUM(C44:C50)</f>
        <v>3078919169.0249987</v>
      </c>
      <c r="D51" s="27">
        <f>SUM(D44:D50)</f>
        <v>2927711438.0599999</v>
      </c>
      <c r="E51" s="27">
        <f>SUM(E44:E50)</f>
        <v>2930008526.9179997</v>
      </c>
      <c r="F51" s="28">
        <f t="shared" ref="F51" si="15">+D51/C51</f>
        <v>0.95088934698702021</v>
      </c>
      <c r="G51" s="29">
        <f>+IF(F51&lt;80%,0,IF(F51&lt;90%,400000,IF(F51&lt;100%,500000,700000)))</f>
        <v>500000</v>
      </c>
      <c r="H51" s="29">
        <f>SUM(H44:H50)</f>
        <v>0</v>
      </c>
      <c r="I51" s="29"/>
      <c r="K51" s="60"/>
      <c r="L51" s="39"/>
      <c r="M51" s="40"/>
      <c r="Q51" s="6"/>
      <c r="R51" s="48"/>
      <c r="U51" s="18" t="s">
        <v>77</v>
      </c>
      <c r="V51" s="13">
        <v>1115214480</v>
      </c>
      <c r="W51" s="13">
        <v>1084773063</v>
      </c>
    </row>
    <row r="52" spans="1:23" ht="15" customHeight="1" x14ac:dyDescent="0.2">
      <c r="A52" s="56" t="s">
        <v>79</v>
      </c>
      <c r="B52" s="56"/>
      <c r="C52" s="57">
        <f>SUM(C44:C50)</f>
        <v>3078919169.0249987</v>
      </c>
      <c r="D52" s="57">
        <f>SUM(D44:D50)</f>
        <v>2927711438.0599999</v>
      </c>
      <c r="E52" s="57">
        <f>SUM(E44:E50)</f>
        <v>2930008526.9179997</v>
      </c>
      <c r="F52" s="58">
        <f>+D52/C52</f>
        <v>0.95088934698702021</v>
      </c>
      <c r="G52" s="57">
        <f>SUM(G44:G51)</f>
        <v>2414809.4388100002</v>
      </c>
      <c r="H52" s="59">
        <f>+H51</f>
        <v>0</v>
      </c>
      <c r="I52" s="57"/>
      <c r="Q52" s="6"/>
      <c r="R52" s="48"/>
    </row>
    <row r="53" spans="1:23" ht="15" customHeight="1" x14ac:dyDescent="0.25">
      <c r="A53" s="10" t="s">
        <v>80</v>
      </c>
      <c r="B53" s="11" t="s">
        <v>81</v>
      </c>
      <c r="C53" s="12">
        <v>298731350.34286964</v>
      </c>
      <c r="D53" s="13">
        <v>443784747.80000001</v>
      </c>
      <c r="E53" s="13">
        <v>452241729.50000036</v>
      </c>
      <c r="F53" s="14">
        <f t="shared" ref="F53:F60" si="16">+D53/C53</f>
        <v>1.485564696476098</v>
      </c>
      <c r="G53" s="15">
        <f>+IF($F$60&lt;80%,0,IF(D53&lt;500000000,IF(F53&lt;80%,0,IF(F53&lt;90%,0.05%*E53,IF(F53&lt;100%,0.1%*E53,0.15%*E53))),IF(F53&lt;80%,0,IF(F53&lt;90%,400000,IF(F53&lt;100%,500000,700000)))))</f>
        <v>678362.59425000055</v>
      </c>
      <c r="H53" s="16"/>
      <c r="I53" s="15"/>
      <c r="K53" s="38"/>
      <c r="L53" s="39"/>
      <c r="M53" s="40"/>
      <c r="N53" s="45"/>
      <c r="O53" s="45"/>
      <c r="P53" s="48"/>
      <c r="Q53" s="48"/>
      <c r="R53" s="48"/>
      <c r="U53" s="8" t="s">
        <v>80</v>
      </c>
      <c r="V53" s="9">
        <v>4524640408.1000004</v>
      </c>
      <c r="W53" s="9">
        <v>4555881239.4700012</v>
      </c>
    </row>
    <row r="54" spans="1:23" ht="15" customHeight="1" x14ac:dyDescent="0.25">
      <c r="A54" s="10"/>
      <c r="B54" s="11" t="s">
        <v>82</v>
      </c>
      <c r="C54" s="12">
        <v>449011093.51885182</v>
      </c>
      <c r="D54" s="13">
        <v>398837013.30000001</v>
      </c>
      <c r="E54" s="13">
        <v>406731732.77000034</v>
      </c>
      <c r="F54" s="14">
        <f t="shared" si="16"/>
        <v>0.88825647975500355</v>
      </c>
      <c r="G54" s="15">
        <f>+IF($F$60&lt;80%,0,IF(D54&lt;500000000,IF(F54&lt;80%,0,IF(F54&lt;90%,0.05%*E54,IF(F54&lt;100%,0.1%*E54,0.15%*E54))),IF(F54&lt;80%,0,IF(F54&lt;90%,400000,IF(F54&lt;100%,500000,700000)))))</f>
        <v>203365.86638500018</v>
      </c>
      <c r="H54" s="16"/>
      <c r="I54" s="15"/>
      <c r="K54" s="42"/>
      <c r="L54" s="43"/>
      <c r="M54" s="44"/>
      <c r="N54" s="45"/>
      <c r="O54" s="45"/>
      <c r="P54" s="48"/>
      <c r="Q54" s="48"/>
      <c r="R54" s="48"/>
      <c r="U54" s="18" t="s">
        <v>81</v>
      </c>
      <c r="V54" s="13">
        <v>443784747.80000001</v>
      </c>
      <c r="W54" s="13">
        <v>452241729.50000036</v>
      </c>
    </row>
    <row r="55" spans="1:23" ht="15" customHeight="1" x14ac:dyDescent="0.25">
      <c r="A55" s="10"/>
      <c r="B55" s="11" t="s">
        <v>83</v>
      </c>
      <c r="C55" s="12">
        <v>104722834.51961406</v>
      </c>
      <c r="D55" s="13">
        <v>141152324</v>
      </c>
      <c r="E55" s="13">
        <v>146100917.59999993</v>
      </c>
      <c r="F55" s="14"/>
      <c r="G55" s="15"/>
      <c r="H55" s="16"/>
      <c r="I55" s="15"/>
      <c r="K55" s="42"/>
      <c r="L55" s="43"/>
      <c r="M55" s="44"/>
      <c r="N55" s="45"/>
      <c r="O55" s="45"/>
      <c r="P55" s="48"/>
      <c r="Q55" s="48"/>
      <c r="R55" s="48"/>
      <c r="U55" s="18" t="s">
        <v>82</v>
      </c>
      <c r="V55" s="13">
        <v>398837013.30000001</v>
      </c>
      <c r="W55" s="13">
        <v>406731732.77000034</v>
      </c>
    </row>
    <row r="56" spans="1:23" ht="15" customHeight="1" x14ac:dyDescent="0.25">
      <c r="A56" s="10"/>
      <c r="B56" s="11" t="s">
        <v>84</v>
      </c>
      <c r="C56" s="12">
        <v>198923331.10807824</v>
      </c>
      <c r="D56" s="13">
        <v>51767900</v>
      </c>
      <c r="E56" s="13">
        <v>53587570.299999997</v>
      </c>
      <c r="F56" s="14">
        <f t="shared" si="16"/>
        <v>0.26024046406036538</v>
      </c>
      <c r="G56" s="15">
        <f>+IF($F$60&lt;80%,0,IF(D56&lt;500000000,IF(F56&lt;80%,0,IF(F56&lt;90%,0.05%*E56,IF(F56&lt;100%,0.1%*E56,0.15%*E56))),IF(F56&lt;80%,0,IF(F56&lt;90%,400000,IF(F56&lt;100%,500000,700000)))))</f>
        <v>0</v>
      </c>
      <c r="H56" s="16"/>
      <c r="I56" s="15"/>
      <c r="K56" s="42"/>
      <c r="L56" s="43"/>
      <c r="M56" s="44"/>
      <c r="N56" s="45"/>
      <c r="O56" s="41"/>
      <c r="P56" s="48"/>
      <c r="Q56" s="48"/>
      <c r="R56" s="48"/>
      <c r="U56" s="18" t="s">
        <v>85</v>
      </c>
      <c r="V56" s="13">
        <v>141152324</v>
      </c>
      <c r="W56" s="13">
        <v>146100917.59999993</v>
      </c>
    </row>
    <row r="57" spans="1:23" ht="15" customHeight="1" x14ac:dyDescent="0.25">
      <c r="A57" s="10"/>
      <c r="B57" s="11" t="s">
        <v>86</v>
      </c>
      <c r="C57" s="12">
        <v>2146428429.9805694</v>
      </c>
      <c r="D57" s="13">
        <v>1639104190</v>
      </c>
      <c r="E57" s="13">
        <v>1627345148.0000002</v>
      </c>
      <c r="F57" s="14">
        <f t="shared" si="16"/>
        <v>0.76364260140499451</v>
      </c>
      <c r="G57" s="15">
        <f>+IF($F$60&lt;80%,0,IF(D57&lt;500000000,IF(F57&lt;80%,0,IF(F57&lt;90%,0.05%*E57,IF(F57&lt;100%,0.1%*E57,0.15%*E57))),IF(F57&lt;80%,0,IF(F57&lt;90%,400000,IF(F57&lt;100%,500000,700000)))))</f>
        <v>0</v>
      </c>
      <c r="H57" s="16"/>
      <c r="I57" s="15"/>
      <c r="K57" s="42"/>
      <c r="L57" s="43"/>
      <c r="M57" s="44"/>
      <c r="N57" s="45"/>
      <c r="O57" s="45"/>
      <c r="P57" s="48"/>
      <c r="Q57" s="48"/>
      <c r="R57" s="48"/>
      <c r="U57" s="18" t="s">
        <v>87</v>
      </c>
      <c r="V57" s="13">
        <v>51767900</v>
      </c>
      <c r="W57" s="13">
        <v>53587570.299999997</v>
      </c>
    </row>
    <row r="58" spans="1:23" ht="15" customHeight="1" x14ac:dyDescent="0.25">
      <c r="A58" s="10"/>
      <c r="B58" s="11" t="s">
        <v>88</v>
      </c>
      <c r="C58" s="12">
        <v>415643537.69856417</v>
      </c>
      <c r="D58" s="13">
        <v>372095359</v>
      </c>
      <c r="E58" s="13">
        <v>383673415.40000015</v>
      </c>
      <c r="F58" s="14">
        <f t="shared" si="16"/>
        <v>0.89522710027036079</v>
      </c>
      <c r="G58" s="15">
        <f>+IF($F$60&lt;80%,0,IF(D58&lt;500000000,IF(F58&lt;80%,0,IF(F58&lt;90%,0.05%*E58,IF(F58&lt;100%,0.1%*E58,0.15%*E58))),IF(F58&lt;80%,0,IF(F58&lt;90%,400000,IF(F58&lt;100%,500000,700000)))))</f>
        <v>191836.70770000009</v>
      </c>
      <c r="H58" s="16"/>
      <c r="I58" s="15"/>
      <c r="K58" s="42"/>
      <c r="L58" s="43"/>
      <c r="M58" s="44"/>
      <c r="N58" s="45"/>
      <c r="O58" s="45"/>
      <c r="P58" s="48"/>
      <c r="Q58" s="48"/>
      <c r="R58" s="48"/>
      <c r="U58" s="18" t="s">
        <v>86</v>
      </c>
      <c r="V58" s="13">
        <v>1639104190</v>
      </c>
      <c r="W58" s="13">
        <v>1627345148.0000002</v>
      </c>
    </row>
    <row r="59" spans="1:23" ht="15" customHeight="1" x14ac:dyDescent="0.25">
      <c r="A59" s="10"/>
      <c r="B59" s="11" t="s">
        <v>89</v>
      </c>
      <c r="C59" s="12">
        <v>1431277622.8314526</v>
      </c>
      <c r="D59" s="13">
        <v>1477898874</v>
      </c>
      <c r="E59" s="13">
        <v>1486200725.8999999</v>
      </c>
      <c r="F59" s="14">
        <f t="shared" si="16"/>
        <v>1.0325731712875648</v>
      </c>
      <c r="G59" s="15">
        <f>+IF($F$60&lt;80%,0,IF(D59&lt;500000000,IF(F59&lt;80%,0,IF(F59&lt;90%,0.05%*E59,IF(F59&lt;100%,0.1%*E59,0.15%*E59))),IF(F59&lt;80%,0,IF(F59&lt;90%,400000,IF(F59&lt;100%,500000,700000)))))</f>
        <v>700000</v>
      </c>
      <c r="H59" s="16"/>
      <c r="I59" s="15"/>
      <c r="K59" s="42"/>
      <c r="L59" s="43"/>
      <c r="M59" s="44"/>
      <c r="N59" s="45"/>
      <c r="O59" s="41"/>
      <c r="P59" s="48"/>
      <c r="Q59" s="48"/>
      <c r="R59" s="48"/>
      <c r="U59" s="18" t="s">
        <v>88</v>
      </c>
      <c r="V59" s="13">
        <v>372095359</v>
      </c>
      <c r="W59" s="13">
        <v>383673415.40000015</v>
      </c>
    </row>
    <row r="60" spans="1:23" ht="15" customHeight="1" x14ac:dyDescent="0.25">
      <c r="A60" s="26"/>
      <c r="B60" s="26" t="s">
        <v>90</v>
      </c>
      <c r="C60" s="27">
        <f>SUM(C53:C59)</f>
        <v>5044738200</v>
      </c>
      <c r="D60" s="27">
        <f>SUM(D53:D59)</f>
        <v>4524640408.1000004</v>
      </c>
      <c r="E60" s="27">
        <f>SUM(E53:E59)</f>
        <v>4555881239.4700012</v>
      </c>
      <c r="F60" s="28">
        <f t="shared" si="16"/>
        <v>0.89690291720192739</v>
      </c>
      <c r="G60" s="29">
        <f>+IF(F60&lt;80%,0,IF(F60&lt;90%,400000,IF(F60&lt;100%,500000,700000)))</f>
        <v>400000</v>
      </c>
      <c r="H60" s="29">
        <f>SUM(H53:H59)</f>
        <v>0</v>
      </c>
      <c r="I60" s="29"/>
      <c r="K60" s="42"/>
      <c r="L60" s="43"/>
      <c r="M60" s="44"/>
      <c r="N60" s="45"/>
      <c r="O60" s="45"/>
      <c r="P60" s="48"/>
      <c r="Q60" s="48"/>
      <c r="R60" s="48"/>
      <c r="U60" s="18" t="s">
        <v>89</v>
      </c>
      <c r="V60" s="13">
        <v>1477898874</v>
      </c>
      <c r="W60" s="13">
        <v>1486200725.8999999</v>
      </c>
    </row>
    <row r="61" spans="1:23" s="46" customFormat="1" ht="7.5" customHeight="1" x14ac:dyDescent="0.2">
      <c r="A61" s="61"/>
      <c r="B61" s="61"/>
      <c r="C61" s="62"/>
      <c r="D61" s="64"/>
      <c r="E61" s="64"/>
      <c r="F61" s="63"/>
      <c r="G61" s="64"/>
      <c r="H61" s="61"/>
      <c r="I61" s="64"/>
      <c r="K61" s="42"/>
      <c r="L61" s="43"/>
      <c r="M61" s="44"/>
      <c r="N61" s="45"/>
      <c r="O61" s="45"/>
      <c r="P61" s="74"/>
      <c r="Q61" s="74"/>
      <c r="R61" s="74"/>
      <c r="S61" s="70"/>
      <c r="T61" s="70"/>
    </row>
    <row r="62" spans="1:23" ht="15" customHeight="1" x14ac:dyDescent="0.2">
      <c r="A62" s="56" t="s">
        <v>91</v>
      </c>
      <c r="B62" s="56"/>
      <c r="C62" s="75">
        <f>SUM(C53:C59)</f>
        <v>5044738200</v>
      </c>
      <c r="D62" s="75">
        <f>SUM(D53:D59)</f>
        <v>4524640408.1000004</v>
      </c>
      <c r="E62" s="75">
        <f>SUM(E53:E59)</f>
        <v>4555881239.4700012</v>
      </c>
      <c r="F62" s="58">
        <f>+D62/C62</f>
        <v>0.89690291720192739</v>
      </c>
      <c r="G62" s="75">
        <f>SUM(G53:G60)</f>
        <v>2173565.168335001</v>
      </c>
      <c r="H62" s="59">
        <f>+H60</f>
        <v>0</v>
      </c>
      <c r="I62" s="75"/>
      <c r="K62" s="60"/>
      <c r="L62" s="39"/>
      <c r="M62" s="40"/>
      <c r="N62" s="45"/>
      <c r="O62" s="45"/>
      <c r="P62" s="48"/>
      <c r="Q62" s="48"/>
      <c r="R62" s="48"/>
    </row>
    <row r="63" spans="1:23" ht="14.25" customHeight="1" x14ac:dyDescent="0.25">
      <c r="A63" s="10" t="s">
        <v>92</v>
      </c>
      <c r="B63" s="76" t="s">
        <v>93</v>
      </c>
      <c r="C63" s="12">
        <v>165467656.76607573</v>
      </c>
      <c r="D63" s="13">
        <v>23702068</v>
      </c>
      <c r="E63" s="13">
        <v>24448318.928000003</v>
      </c>
      <c r="F63" s="14">
        <f t="shared" ref="F63" si="17">+D63/C63</f>
        <v>0.14324290597471862</v>
      </c>
      <c r="G63" s="15">
        <f>+IF($F$65&lt;80%,0,IF(D63&lt;500000000,IF(F63&lt;80%,0,IF(F63&lt;90%,0.05%*E63,IF(F63&lt;100%,0.1%*E63,0.15%*E63))),IF(F63&lt;80%,0,IF(F63&lt;90%,400000,IF(F63&lt;100%,500000,700000)))))</f>
        <v>0</v>
      </c>
      <c r="H63" s="16"/>
      <c r="I63" s="15"/>
      <c r="K63" s="42"/>
      <c r="L63" s="43"/>
      <c r="M63" s="44"/>
      <c r="N63" s="45"/>
      <c r="O63" s="45"/>
      <c r="P63" s="48"/>
      <c r="Q63" s="48"/>
      <c r="R63" s="48"/>
    </row>
    <row r="64" spans="1:23" ht="14.25" customHeight="1" x14ac:dyDescent="0.25">
      <c r="A64" s="10"/>
      <c r="B64" s="10"/>
      <c r="C64" s="12"/>
      <c r="D64" s="13">
        <v>9947019.0080000013</v>
      </c>
      <c r="E64" s="13">
        <v>9342041.2228000034</v>
      </c>
      <c r="F64" s="14"/>
      <c r="G64" s="15"/>
      <c r="H64" s="10"/>
      <c r="I64" s="15"/>
      <c r="K64" s="41"/>
      <c r="L64" s="45"/>
      <c r="M64" s="45"/>
      <c r="N64" s="45"/>
      <c r="O64" s="45"/>
      <c r="P64" s="48"/>
      <c r="Q64" s="48"/>
      <c r="R64" s="48"/>
    </row>
    <row r="65" spans="1:23" s="7" customFormat="1" ht="14.25" customHeight="1" x14ac:dyDescent="0.2">
      <c r="A65" s="26"/>
      <c r="B65" s="26" t="s">
        <v>25</v>
      </c>
      <c r="C65" s="27">
        <f>SUM(C63:C64)</f>
        <v>165467656.76607573</v>
      </c>
      <c r="D65" s="27">
        <f>SUM(D63:D64)</f>
        <v>33649087.008000001</v>
      </c>
      <c r="E65" s="27">
        <f>SUM(E63:E64)</f>
        <v>33790360.150800005</v>
      </c>
      <c r="F65" s="28">
        <f t="shared" ref="F65:F71" si="18">+D65/C65</f>
        <v>0.20335748789608021</v>
      </c>
      <c r="G65" s="29">
        <f>+IF(F65&lt;80%,0,IF(F65&lt;90%,200000,IF(F65&lt;100%,250000,350000)))</f>
        <v>0</v>
      </c>
      <c r="H65" s="29">
        <f>SUM(H63:H64)</f>
        <v>0</v>
      </c>
      <c r="I65" s="29"/>
      <c r="J65" s="5"/>
      <c r="K65" s="41"/>
      <c r="L65" s="41"/>
      <c r="M65" s="45"/>
      <c r="N65" s="45"/>
      <c r="O65" s="45"/>
      <c r="P65" s="48"/>
      <c r="Q65" s="48"/>
      <c r="R65" s="48"/>
    </row>
    <row r="66" spans="1:23" s="7" customFormat="1" ht="14.25" customHeight="1" x14ac:dyDescent="0.25">
      <c r="A66" s="10" t="s">
        <v>94</v>
      </c>
      <c r="B66" s="11" t="s">
        <v>95</v>
      </c>
      <c r="C66" s="12">
        <v>285319796.8601371</v>
      </c>
      <c r="D66" s="13">
        <v>233498539</v>
      </c>
      <c r="E66" s="13">
        <v>239982059.89999998</v>
      </c>
      <c r="F66" s="14">
        <f t="shared" si="18"/>
        <v>0.81837482561527364</v>
      </c>
      <c r="G66" s="15">
        <f>+IF($F$73&lt;80%,0,IF(D66&lt;500000000,IF(F66&lt;80%,0,IF(F66&lt;90%,0.05%*E66,IF(F66&lt;100%,0.1%*E66,0.15%*E66))),IF(F66&lt;80%,0,IF(F66&lt;90%,400000,IF(F66&lt;100%,500000,700000)))))</f>
        <v>119991.02995</v>
      </c>
      <c r="H66" s="16"/>
      <c r="I66" s="15"/>
      <c r="J66" s="5"/>
      <c r="K66" s="38"/>
      <c r="L66" s="39"/>
      <c r="M66" s="40"/>
      <c r="N66" s="48"/>
      <c r="Q66" s="48"/>
      <c r="R66" s="48"/>
      <c r="U66" s="8" t="s">
        <v>31</v>
      </c>
      <c r="V66" s="9">
        <v>4836377737.2080002</v>
      </c>
      <c r="W66" s="9">
        <v>4947096474.1748009</v>
      </c>
    </row>
    <row r="67" spans="1:23" s="7" customFormat="1" ht="14.25" customHeight="1" x14ac:dyDescent="0.25">
      <c r="A67" s="10"/>
      <c r="B67" s="11" t="s">
        <v>96</v>
      </c>
      <c r="C67" s="12">
        <v>1318927331.7557395</v>
      </c>
      <c r="D67" s="13">
        <v>1371027510</v>
      </c>
      <c r="E67" s="13">
        <v>1384333929</v>
      </c>
      <c r="F67" s="14">
        <f t="shared" si="18"/>
        <v>1.039501932358097</v>
      </c>
      <c r="G67" s="15">
        <f t="shared" ref="G67:G71" si="19">+IF($F$73&lt;80%,0,IF(D67&lt;500000000,IF(F67&lt;80%,0,IF(F67&lt;90%,0.05%*E67,IF(F67&lt;100%,0.1%*E67,0.15%*E67))),IF(F67&lt;80%,0,IF(F67&lt;90%,400000,IF(F67&lt;100%,500000,700000)))))</f>
        <v>700000</v>
      </c>
      <c r="H67" s="16"/>
      <c r="I67" s="15"/>
      <c r="J67" s="5"/>
      <c r="K67" s="42"/>
      <c r="L67" s="43"/>
      <c r="M67" s="44"/>
      <c r="N67" s="41"/>
      <c r="O67" s="41"/>
      <c r="P67" s="48"/>
      <c r="Q67" s="48"/>
      <c r="R67" s="48"/>
      <c r="U67" s="18" t="s">
        <v>97</v>
      </c>
      <c r="V67" s="13">
        <v>3728736</v>
      </c>
      <c r="W67" s="13">
        <v>4012747.2</v>
      </c>
    </row>
    <row r="68" spans="1:23" s="7" customFormat="1" ht="14.25" customHeight="1" x14ac:dyDescent="0.25">
      <c r="A68" s="10"/>
      <c r="B68" s="11" t="s">
        <v>98</v>
      </c>
      <c r="C68" s="12">
        <v>261527083.09178096</v>
      </c>
      <c r="D68" s="13">
        <v>197097746</v>
      </c>
      <c r="E68" s="13">
        <v>206085939.39999992</v>
      </c>
      <c r="F68" s="14">
        <f t="shared" si="18"/>
        <v>0.75364181663292606</v>
      </c>
      <c r="G68" s="15">
        <f t="shared" si="19"/>
        <v>0</v>
      </c>
      <c r="H68" s="16"/>
      <c r="I68" s="15"/>
      <c r="J68" s="5"/>
      <c r="K68" s="42"/>
      <c r="L68" s="43"/>
      <c r="M68" s="44"/>
      <c r="N68" s="42"/>
      <c r="Q68" s="48"/>
      <c r="R68" s="48"/>
      <c r="U68" s="77" t="s">
        <v>99</v>
      </c>
      <c r="V68" s="13">
        <v>9947019.0080000013</v>
      </c>
      <c r="W68" s="13">
        <v>9342041.2228000034</v>
      </c>
    </row>
    <row r="69" spans="1:23" s="7" customFormat="1" ht="14.25" customHeight="1" x14ac:dyDescent="0.25">
      <c r="A69" s="10"/>
      <c r="B69" s="11" t="s">
        <v>100</v>
      </c>
      <c r="C69" s="12">
        <v>395317770.50412124</v>
      </c>
      <c r="D69" s="13">
        <v>439608272</v>
      </c>
      <c r="E69" s="13">
        <v>449564935.60000026</v>
      </c>
      <c r="F69" s="14">
        <f t="shared" si="18"/>
        <v>1.1120377195272506</v>
      </c>
      <c r="G69" s="15">
        <f t="shared" si="19"/>
        <v>674347.40340000042</v>
      </c>
      <c r="H69" s="16"/>
      <c r="I69" s="15"/>
      <c r="J69" s="5"/>
      <c r="K69" s="42"/>
      <c r="L69" s="43"/>
      <c r="M69" s="44"/>
      <c r="N69" s="42"/>
      <c r="O69" s="41"/>
      <c r="P69" s="48"/>
      <c r="Q69" s="48"/>
      <c r="R69" s="48"/>
      <c r="U69" s="18" t="s">
        <v>101</v>
      </c>
      <c r="V69" s="13">
        <v>310722668</v>
      </c>
      <c r="W69" s="13">
        <v>317814798.39999992</v>
      </c>
    </row>
    <row r="70" spans="1:23" s="7" customFormat="1" ht="14.25" customHeight="1" x14ac:dyDescent="0.25">
      <c r="A70" s="10"/>
      <c r="B70" s="11" t="s">
        <v>102</v>
      </c>
      <c r="C70" s="12">
        <v>309155068.27122176</v>
      </c>
      <c r="D70" s="13">
        <v>316490992</v>
      </c>
      <c r="E70" s="13">
        <v>327740899.20000052</v>
      </c>
      <c r="F70" s="14">
        <f t="shared" si="18"/>
        <v>1.0237289453794185</v>
      </c>
      <c r="G70" s="15">
        <f t="shared" si="19"/>
        <v>491611.34880000079</v>
      </c>
      <c r="H70" s="16"/>
      <c r="I70" s="15"/>
      <c r="J70" s="5"/>
      <c r="K70" s="42"/>
      <c r="L70" s="43"/>
      <c r="M70" s="44"/>
      <c r="N70" s="41"/>
      <c r="O70" s="41"/>
      <c r="P70" s="48"/>
      <c r="Q70" s="48"/>
      <c r="R70" s="48"/>
      <c r="U70" s="18" t="s">
        <v>95</v>
      </c>
      <c r="V70" s="13">
        <v>233498539</v>
      </c>
      <c r="W70" s="13">
        <v>239982059.89999998</v>
      </c>
    </row>
    <row r="71" spans="1:23" s="7" customFormat="1" ht="14.25" customHeight="1" x14ac:dyDescent="0.25">
      <c r="A71" s="10"/>
      <c r="B71" s="11" t="s">
        <v>103</v>
      </c>
      <c r="C71" s="12">
        <v>850201219.04051268</v>
      </c>
      <c r="D71" s="13">
        <v>859888395</v>
      </c>
      <c r="E71" s="13">
        <v>880119322.49999976</v>
      </c>
      <c r="F71" s="14">
        <f t="shared" si="18"/>
        <v>1.0113939803219991</v>
      </c>
      <c r="G71" s="15">
        <f t="shared" si="19"/>
        <v>700000</v>
      </c>
      <c r="H71" s="16"/>
      <c r="I71" s="15"/>
      <c r="J71" s="5"/>
      <c r="K71" s="42"/>
      <c r="L71" s="43"/>
      <c r="M71" s="44"/>
      <c r="N71" s="41"/>
      <c r="Q71" s="48"/>
      <c r="R71" s="48"/>
      <c r="U71" s="18" t="s">
        <v>104</v>
      </c>
      <c r="V71" s="13">
        <v>101463496</v>
      </c>
      <c r="W71" s="13">
        <v>106626198.80000012</v>
      </c>
    </row>
    <row r="72" spans="1:23" s="7" customFormat="1" ht="14.25" customHeight="1" x14ac:dyDescent="0.25">
      <c r="A72" s="10"/>
      <c r="B72" s="11"/>
      <c r="C72" s="12"/>
      <c r="D72" s="16"/>
      <c r="E72" s="16"/>
      <c r="F72" s="14"/>
      <c r="G72" s="15"/>
      <c r="H72" s="10"/>
      <c r="I72" s="15"/>
      <c r="J72" s="5"/>
      <c r="K72" s="42"/>
      <c r="L72" s="43"/>
      <c r="M72" s="44"/>
      <c r="Q72" s="48"/>
      <c r="R72" s="48"/>
      <c r="U72" s="77" t="s">
        <v>93</v>
      </c>
      <c r="V72" s="13">
        <v>23702068</v>
      </c>
      <c r="W72" s="13">
        <v>24448318.928000003</v>
      </c>
    </row>
    <row r="73" spans="1:23" s="7" customFormat="1" ht="14.25" customHeight="1" x14ac:dyDescent="0.25">
      <c r="A73" s="26"/>
      <c r="B73" s="26" t="s">
        <v>105</v>
      </c>
      <c r="C73" s="27">
        <f>SUM(C66:C72)</f>
        <v>3420448269.5235128</v>
      </c>
      <c r="D73" s="27">
        <f>SUM(D66:D72)</f>
        <v>3417611454</v>
      </c>
      <c r="E73" s="27">
        <f>SUM(E66:E72)</f>
        <v>3487827085.6000004</v>
      </c>
      <c r="F73" s="28">
        <f t="shared" ref="F73:F83" si="20">+D73/C73</f>
        <v>0.99917063048466803</v>
      </c>
      <c r="G73" s="29">
        <f>+IF(F73&lt;80%,0,IF(F73&lt;90%,400000,IF(F73&lt;100%,500000,700000)))</f>
        <v>500000</v>
      </c>
      <c r="H73" s="29">
        <f>SUM(H66:H72)</f>
        <v>0</v>
      </c>
      <c r="I73" s="29"/>
      <c r="J73" s="5"/>
      <c r="K73" s="42"/>
      <c r="L73" s="43"/>
      <c r="M73" s="44"/>
      <c r="Q73" s="48"/>
      <c r="R73" s="48"/>
      <c r="U73" s="18" t="s">
        <v>96</v>
      </c>
      <c r="V73" s="13">
        <v>1371027510</v>
      </c>
      <c r="W73" s="13">
        <v>1384333929</v>
      </c>
    </row>
    <row r="74" spans="1:23" s="7" customFormat="1" ht="14.25" customHeight="1" x14ac:dyDescent="0.25">
      <c r="A74" s="10"/>
      <c r="B74" s="11" t="s">
        <v>106</v>
      </c>
      <c r="C74" s="12">
        <v>107593968.2315287</v>
      </c>
      <c r="D74" s="13">
        <v>109405564</v>
      </c>
      <c r="E74" s="13">
        <v>114704526.20000005</v>
      </c>
      <c r="F74" s="14">
        <f t="shared" si="20"/>
        <v>1.0168373357563407</v>
      </c>
      <c r="G74" s="15">
        <f>+IF($F$76&lt;80%,0,IF(D74&lt;500000000,IF(F74&lt;80%,0,IF(F74&lt;90%,0.05%*E74,IF(F74&lt;100%,0.1%*E74,0.15%*E74))),IF(F74&lt;80%,0,IF(F74&lt;90%,400000,IF(F74&lt;100%,500000,700000)))))</f>
        <v>172056.78930000006</v>
      </c>
      <c r="H74" s="16"/>
      <c r="I74" s="15"/>
      <c r="J74" s="5"/>
      <c r="K74" s="41"/>
      <c r="L74" s="45"/>
      <c r="M74" s="45"/>
      <c r="Q74" s="48"/>
      <c r="R74" s="48"/>
      <c r="U74" s="77" t="s">
        <v>107</v>
      </c>
      <c r="V74" s="13">
        <v>17813600</v>
      </c>
      <c r="W74" s="13">
        <v>18584745.960000001</v>
      </c>
    </row>
    <row r="75" spans="1:23" s="7" customFormat="1" ht="14.25" customHeight="1" x14ac:dyDescent="0.25">
      <c r="A75" s="10"/>
      <c r="B75" s="11" t="s">
        <v>108</v>
      </c>
      <c r="C75" s="12">
        <v>160025786.36506474</v>
      </c>
      <c r="D75" s="13">
        <v>203815976</v>
      </c>
      <c r="E75" s="13">
        <v>211392240.39999998</v>
      </c>
      <c r="F75" s="14">
        <f t="shared" si="20"/>
        <v>1.273644583348819</v>
      </c>
      <c r="G75" s="15">
        <f>+IF($F$76&lt;80%,0,IF(D75&lt;500000000,IF(F75&lt;80%,0,IF(F75&lt;90%,0.05%*E75,IF(F75&lt;100%,0.1%*E75,0.15%*E75))),IF(F75&lt;80%,0,IF(F75&lt;90%,400000,IF(F75&lt;100%,500000,700000)))))</f>
        <v>317088.36059999996</v>
      </c>
      <c r="H75" s="16"/>
      <c r="I75" s="15"/>
      <c r="J75" s="5"/>
      <c r="K75" s="41"/>
      <c r="L75" s="45"/>
      <c r="M75" s="45"/>
      <c r="Q75" s="48"/>
      <c r="R75" s="48"/>
      <c r="U75" s="18" t="s">
        <v>106</v>
      </c>
      <c r="V75" s="13">
        <v>109405564</v>
      </c>
      <c r="W75" s="13">
        <v>114704526.20000005</v>
      </c>
    </row>
    <row r="76" spans="1:23" s="7" customFormat="1" ht="14.25" customHeight="1" x14ac:dyDescent="0.25">
      <c r="A76" s="26"/>
      <c r="B76" s="26" t="s">
        <v>105</v>
      </c>
      <c r="C76" s="27">
        <f>SUM(C74:C75)</f>
        <v>267619754.59659344</v>
      </c>
      <c r="D76" s="27">
        <f>SUM(D74:D75)</f>
        <v>313221540</v>
      </c>
      <c r="E76" s="27">
        <f>SUM(E74:E75)</f>
        <v>326096766.60000002</v>
      </c>
      <c r="F76" s="28">
        <f t="shared" si="20"/>
        <v>1.1703976803661078</v>
      </c>
      <c r="G76" s="29">
        <f>+IF(F76&lt;80%,0,IF(F76&lt;90%,100000,IF(F76&lt;100%,200000,300000)))</f>
        <v>300000</v>
      </c>
      <c r="H76" s="26">
        <f>SUM(H74:H75)</f>
        <v>0</v>
      </c>
      <c r="I76" s="29"/>
      <c r="J76" s="5"/>
      <c r="K76" s="51"/>
      <c r="L76" s="51"/>
      <c r="M76" s="49"/>
      <c r="Q76" s="48"/>
      <c r="R76" s="48"/>
      <c r="U76" s="18" t="s">
        <v>109</v>
      </c>
      <c r="V76" s="13">
        <v>79207200</v>
      </c>
      <c r="W76" s="13">
        <v>83302648.000000089</v>
      </c>
    </row>
    <row r="77" spans="1:23" s="7" customFormat="1" ht="14.25" customHeight="1" x14ac:dyDescent="0.25">
      <c r="A77" s="10" t="s">
        <v>110</v>
      </c>
      <c r="B77" s="11"/>
      <c r="C77" s="12"/>
      <c r="D77" s="13"/>
      <c r="E77" s="13"/>
      <c r="F77" s="14"/>
      <c r="G77" s="15"/>
      <c r="H77" s="16"/>
      <c r="I77" s="15"/>
      <c r="J77" s="5"/>
      <c r="K77" s="38"/>
      <c r="L77" s="39"/>
      <c r="M77" s="40"/>
      <c r="N77" s="6"/>
      <c r="Q77" s="48"/>
      <c r="R77" s="48"/>
      <c r="U77" s="18" t="s">
        <v>98</v>
      </c>
      <c r="V77" s="13">
        <v>197097746</v>
      </c>
      <c r="W77" s="13">
        <v>206085939.39999992</v>
      </c>
    </row>
    <row r="78" spans="1:23" s="7" customFormat="1" ht="14.25" customHeight="1" x14ac:dyDescent="0.25">
      <c r="A78" s="10"/>
      <c r="B78" s="11" t="s">
        <v>101</v>
      </c>
      <c r="C78" s="12">
        <v>381253541.79390252</v>
      </c>
      <c r="D78" s="13">
        <v>310722668</v>
      </c>
      <c r="E78" s="13">
        <v>317814798.39999992</v>
      </c>
      <c r="F78" s="14">
        <f t="shared" si="20"/>
        <v>0.81500270538593456</v>
      </c>
      <c r="G78" s="15">
        <f t="shared" ref="G78:G82" si="21">+IF($F$83&lt;80%,0,IF(D78&lt;500000000,IF(F78&lt;80%,0,IF(F78&lt;90%,0.05%*E78,IF(F78&lt;100%,0.1%*E78,0.15%*E78))),IF(F78&lt;80%,0,IF(F78&lt;90%,400000,IF(F78&lt;100%,500000,700000)))))</f>
        <v>0</v>
      </c>
      <c r="H78" s="16"/>
      <c r="I78" s="15"/>
      <c r="J78" s="5"/>
      <c r="K78" s="42"/>
      <c r="L78" s="43"/>
      <c r="M78" s="44"/>
      <c r="N78" s="48"/>
      <c r="P78" s="48"/>
      <c r="Q78" s="48"/>
      <c r="R78" s="48"/>
      <c r="U78" s="18" t="s">
        <v>108</v>
      </c>
      <c r="V78" s="13">
        <v>203815976</v>
      </c>
      <c r="W78" s="13">
        <v>211392240.39999998</v>
      </c>
    </row>
    <row r="79" spans="1:23" s="7" customFormat="1" ht="14.25" customHeight="1" x14ac:dyDescent="0.25">
      <c r="A79" s="10"/>
      <c r="B79" s="11" t="s">
        <v>104</v>
      </c>
      <c r="C79" s="12">
        <v>140595535.33782944</v>
      </c>
      <c r="D79" s="13">
        <v>101463496</v>
      </c>
      <c r="E79" s="13">
        <v>106626198.80000012</v>
      </c>
      <c r="F79" s="14">
        <f t="shared" si="20"/>
        <v>0.72166940263215917</v>
      </c>
      <c r="G79" s="15">
        <f t="shared" si="21"/>
        <v>0</v>
      </c>
      <c r="H79" s="16"/>
      <c r="I79" s="15"/>
      <c r="J79" s="5"/>
      <c r="K79" s="42"/>
      <c r="L79" s="43"/>
      <c r="M79" s="44"/>
      <c r="N79" s="43"/>
      <c r="O79" s="45"/>
      <c r="P79" s="48"/>
      <c r="Q79" s="48"/>
      <c r="R79" s="48"/>
      <c r="U79" s="18" t="s">
        <v>111</v>
      </c>
      <c r="V79" s="13">
        <v>331591668</v>
      </c>
      <c r="W79" s="13">
        <v>336141765.29999995</v>
      </c>
    </row>
    <row r="80" spans="1:23" s="7" customFormat="1" ht="14.25" customHeight="1" x14ac:dyDescent="0.25">
      <c r="A80" s="10"/>
      <c r="B80" s="11" t="s">
        <v>109</v>
      </c>
      <c r="C80" s="12">
        <v>112534809.16422492</v>
      </c>
      <c r="D80" s="13">
        <f>79207200+3728736</f>
        <v>82935936</v>
      </c>
      <c r="E80" s="13">
        <f>83302648.0000001+4012747</f>
        <v>87315395.000000104</v>
      </c>
      <c r="F80" s="14">
        <f t="shared" si="20"/>
        <v>0.73698028739684862</v>
      </c>
      <c r="G80" s="15">
        <f t="shared" si="21"/>
        <v>0</v>
      </c>
      <c r="H80" s="16"/>
      <c r="I80" s="15"/>
      <c r="J80" s="5"/>
      <c r="K80" s="42"/>
      <c r="L80" s="43"/>
      <c r="M80" s="44"/>
      <c r="N80" s="48"/>
      <c r="Q80" s="48"/>
      <c r="R80" s="48"/>
      <c r="U80" s="18" t="s">
        <v>100</v>
      </c>
      <c r="V80" s="13">
        <v>439608272</v>
      </c>
      <c r="W80" s="13">
        <v>449564935.60000026</v>
      </c>
    </row>
    <row r="81" spans="1:23" ht="14.25" customHeight="1" x14ac:dyDescent="0.25">
      <c r="A81" s="10"/>
      <c r="B81" s="11" t="s">
        <v>111</v>
      </c>
      <c r="C81" s="12">
        <v>344236406.53685451</v>
      </c>
      <c r="D81" s="13">
        <v>331591668</v>
      </c>
      <c r="E81" s="13">
        <v>336141765.29999995</v>
      </c>
      <c r="F81" s="14">
        <f t="shared" si="20"/>
        <v>0.96326728289995456</v>
      </c>
      <c r="G81" s="15">
        <f t="shared" si="21"/>
        <v>0</v>
      </c>
      <c r="H81" s="16"/>
      <c r="I81" s="15"/>
      <c r="K81" s="42"/>
      <c r="L81" s="43"/>
      <c r="M81" s="44"/>
      <c r="N81" s="7"/>
      <c r="Q81" s="48"/>
      <c r="R81" s="48"/>
      <c r="U81" s="18" t="s">
        <v>102</v>
      </c>
      <c r="V81" s="13">
        <v>316490992</v>
      </c>
      <c r="W81" s="13">
        <v>327740899.20000052</v>
      </c>
    </row>
    <row r="82" spans="1:23" ht="14.25" customHeight="1" x14ac:dyDescent="0.25">
      <c r="A82" s="10"/>
      <c r="B82" s="11" t="s">
        <v>112</v>
      </c>
      <c r="C82" s="12">
        <v>454680300.98756355</v>
      </c>
      <c r="D82" s="13">
        <v>180732308</v>
      </c>
      <c r="E82" s="13">
        <v>185057152.72</v>
      </c>
      <c r="F82" s="14">
        <f t="shared" si="20"/>
        <v>0.39749315641660798</v>
      </c>
      <c r="G82" s="15">
        <f t="shared" si="21"/>
        <v>0</v>
      </c>
      <c r="H82" s="16"/>
      <c r="I82" s="15"/>
      <c r="K82" s="42"/>
      <c r="L82" s="43"/>
      <c r="M82" s="44"/>
      <c r="N82" s="42"/>
      <c r="Q82" s="48"/>
      <c r="R82" s="48"/>
      <c r="U82" s="77" t="s">
        <v>113</v>
      </c>
      <c r="V82" s="13">
        <v>31912640</v>
      </c>
      <c r="W82" s="13">
        <v>32458972.391999993</v>
      </c>
    </row>
    <row r="83" spans="1:23" ht="14.25" customHeight="1" x14ac:dyDescent="0.25">
      <c r="A83" s="26"/>
      <c r="B83" s="26" t="s">
        <v>114</v>
      </c>
      <c r="C83" s="27">
        <f>SUM(C77:C82)</f>
        <v>1433300593.820375</v>
      </c>
      <c r="D83" s="27">
        <f>SUM(D77:D82)</f>
        <v>1007446076</v>
      </c>
      <c r="E83" s="27">
        <f>SUM(E77:E82)</f>
        <v>1032955310.2200001</v>
      </c>
      <c r="F83" s="28">
        <f t="shared" si="20"/>
        <v>0.7028854103204647</v>
      </c>
      <c r="G83" s="29">
        <f>+IF(F83&lt;80%,0,IF(F83&lt;90%,400000,IF(F83&lt;100%,500000,700000)))</f>
        <v>0</v>
      </c>
      <c r="H83" s="29">
        <f>SUM(H77:H82)</f>
        <v>0</v>
      </c>
      <c r="I83" s="29"/>
      <c r="K83" s="42"/>
      <c r="L83" s="43"/>
      <c r="M83" s="44"/>
      <c r="Q83" s="48"/>
      <c r="R83" s="48"/>
      <c r="U83" s="18" t="s">
        <v>112</v>
      </c>
      <c r="V83" s="13">
        <v>180732308</v>
      </c>
      <c r="W83" s="13">
        <v>185057152.72</v>
      </c>
    </row>
    <row r="84" spans="1:23" ht="14.25" customHeight="1" x14ac:dyDescent="0.25">
      <c r="A84" s="61"/>
      <c r="B84" s="61"/>
      <c r="C84" s="62"/>
      <c r="D84" s="64"/>
      <c r="E84" s="64"/>
      <c r="F84" s="63"/>
      <c r="G84" s="64"/>
      <c r="H84" s="10"/>
      <c r="I84" s="15"/>
      <c r="K84" s="42"/>
      <c r="L84" s="43"/>
      <c r="M84" s="44"/>
      <c r="N84" s="7"/>
      <c r="P84" s="48"/>
      <c r="Q84" s="48"/>
      <c r="R84" s="48"/>
      <c r="U84" s="77" t="s">
        <v>115</v>
      </c>
      <c r="V84" s="13">
        <v>14723340.199999999</v>
      </c>
      <c r="W84" s="13">
        <v>15383233.052000003</v>
      </c>
    </row>
    <row r="85" spans="1:23" ht="14.25" customHeight="1" x14ac:dyDescent="0.25">
      <c r="A85" s="56" t="s">
        <v>116</v>
      </c>
      <c r="B85" s="56"/>
      <c r="C85" s="78">
        <f>+C65+C73+C76+C83</f>
        <v>5286836274.7065563</v>
      </c>
      <c r="D85" s="78">
        <f>+D65+D73+D76+D83</f>
        <v>4771928157.0079994</v>
      </c>
      <c r="E85" s="78">
        <f>+E65+E73+E76+E83</f>
        <v>4880669522.5708008</v>
      </c>
      <c r="F85" s="79">
        <f>+D85/C85</f>
        <v>0.90260562443327474</v>
      </c>
      <c r="G85" s="78">
        <f>SUM(G63:G83)</f>
        <v>3975094.9320500013</v>
      </c>
      <c r="H85" s="59">
        <f>+H83+H76+H73+H65</f>
        <v>0</v>
      </c>
      <c r="I85" s="80"/>
      <c r="K85" s="60"/>
      <c r="L85" s="39"/>
      <c r="M85" s="40"/>
      <c r="Q85" s="48"/>
      <c r="R85" s="48"/>
      <c r="U85" s="18" t="s">
        <v>103</v>
      </c>
      <c r="V85" s="13">
        <v>859888395</v>
      </c>
      <c r="W85" s="13">
        <v>880119322.49999976</v>
      </c>
    </row>
    <row r="86" spans="1:23" s="46" customFormat="1" ht="14.25" customHeight="1" x14ac:dyDescent="0.2">
      <c r="A86" s="61"/>
      <c r="B86" s="61"/>
      <c r="C86" s="62"/>
      <c r="D86" s="64"/>
      <c r="E86" s="64"/>
      <c r="F86" s="63"/>
      <c r="G86" s="64"/>
      <c r="H86" s="61"/>
      <c r="I86" s="64"/>
      <c r="K86" s="42"/>
      <c r="L86" s="43"/>
      <c r="M86" s="44"/>
      <c r="N86" s="5"/>
      <c r="O86" s="7"/>
      <c r="P86" s="7"/>
      <c r="Q86" s="74"/>
      <c r="R86" s="74"/>
      <c r="S86" s="70"/>
      <c r="T86" s="70"/>
    </row>
    <row r="87" spans="1:23" ht="14.25" customHeight="1" x14ac:dyDescent="0.25">
      <c r="A87" s="10" t="s">
        <v>35</v>
      </c>
      <c r="B87" s="11" t="s">
        <v>117</v>
      </c>
      <c r="C87" s="12">
        <v>105344643.93591297</v>
      </c>
      <c r="D87" s="13">
        <v>96685751</v>
      </c>
      <c r="E87" s="13">
        <v>99841815.700000152</v>
      </c>
      <c r="F87" s="14">
        <f t="shared" ref="F87:F99" si="22">+D87/C87</f>
        <v>0.91780414634862062</v>
      </c>
      <c r="G87" s="15">
        <f>+IF($F$99&lt;80%,0,IF(D87&lt;500000000,IF(F87&lt;80%,0,IF(F87&lt;90%,0.05%*E87,IF(F87&lt;100%,0.1%*E87,0.15%*E87))),IF(F87&lt;80%,0,IF(F87&lt;90%,400000,IF(F87&lt;100%,500000,700000)))))</f>
        <v>0</v>
      </c>
      <c r="H87" s="16"/>
      <c r="I87" s="15"/>
      <c r="K87" s="38"/>
      <c r="L87" s="39"/>
      <c r="M87" s="40"/>
      <c r="N87" s="11"/>
      <c r="R87" s="48"/>
      <c r="U87" s="8" t="s">
        <v>35</v>
      </c>
      <c r="V87" s="9">
        <v>1379565952.3199999</v>
      </c>
      <c r="W87" s="9">
        <v>1407827512.3000004</v>
      </c>
    </row>
    <row r="88" spans="1:23" ht="14.25" customHeight="1" x14ac:dyDescent="0.25">
      <c r="A88" s="10"/>
      <c r="B88" s="11" t="s">
        <v>118</v>
      </c>
      <c r="C88" s="12">
        <v>183933661.35846782</v>
      </c>
      <c r="D88" s="13">
        <v>134416644</v>
      </c>
      <c r="E88" s="13">
        <v>137491767.60000002</v>
      </c>
      <c r="F88" s="14">
        <f t="shared" si="22"/>
        <v>0.73078871484016061</v>
      </c>
      <c r="G88" s="15">
        <f t="shared" ref="G88:G96" si="23">+IF($F$99&lt;80%,0,IF(D88&lt;500000000,IF(F88&lt;80%,0,IF(F88&lt;90%,0.05%*E88,IF(F88&lt;100%,0.1%*E88,0.15%*E88))),IF(F88&lt;80%,0,IF(F88&lt;90%,400000,IF(F88&lt;100%,500000,700000)))))</f>
        <v>0</v>
      </c>
      <c r="H88" s="16"/>
      <c r="I88" s="15"/>
      <c r="K88" s="42"/>
      <c r="L88" s="43"/>
      <c r="M88" s="44"/>
      <c r="N88" s="46"/>
      <c r="O88" s="46"/>
      <c r="P88" s="46"/>
      <c r="R88" s="48"/>
      <c r="U88" s="18" t="s">
        <v>117</v>
      </c>
      <c r="V88" s="13">
        <v>96685751</v>
      </c>
      <c r="W88" s="13">
        <v>99841815.700000152</v>
      </c>
    </row>
    <row r="89" spans="1:23" ht="14.25" customHeight="1" x14ac:dyDescent="0.25">
      <c r="A89" s="10"/>
      <c r="B89" s="11" t="s">
        <v>119</v>
      </c>
      <c r="C89" s="12">
        <v>548691356.16617167</v>
      </c>
      <c r="D89" s="13">
        <v>292489996</v>
      </c>
      <c r="E89" s="13">
        <v>295799272.99999994</v>
      </c>
      <c r="F89" s="14">
        <f t="shared" si="22"/>
        <v>0.53306835019908561</v>
      </c>
      <c r="G89" s="15">
        <f t="shared" si="23"/>
        <v>0</v>
      </c>
      <c r="H89" s="16"/>
      <c r="I89" s="15"/>
      <c r="K89" s="42"/>
      <c r="L89" s="43"/>
      <c r="M89" s="44"/>
      <c r="N89" s="48"/>
      <c r="O89" s="48"/>
      <c r="P89" s="48"/>
      <c r="R89" s="48"/>
      <c r="U89" s="18" t="s">
        <v>118</v>
      </c>
      <c r="V89" s="13">
        <v>134416644</v>
      </c>
      <c r="W89" s="13">
        <v>137491767.60000002</v>
      </c>
    </row>
    <row r="90" spans="1:23" ht="14.25" customHeight="1" x14ac:dyDescent="0.25">
      <c r="A90" s="10"/>
      <c r="B90" s="11" t="s">
        <v>120</v>
      </c>
      <c r="C90" s="12">
        <v>151269501.88023511</v>
      </c>
      <c r="D90" s="13">
        <v>98992432</v>
      </c>
      <c r="E90" s="13">
        <v>102773950.40000026</v>
      </c>
      <c r="F90" s="14">
        <f t="shared" si="22"/>
        <v>0.6544110396977143</v>
      </c>
      <c r="G90" s="15">
        <f t="shared" si="23"/>
        <v>0</v>
      </c>
      <c r="H90" s="16"/>
      <c r="I90" s="15"/>
      <c r="K90" s="42"/>
      <c r="L90" s="43"/>
      <c r="M90" s="44"/>
      <c r="N90" s="48"/>
      <c r="O90" s="48"/>
      <c r="P90" s="48"/>
      <c r="R90" s="48"/>
      <c r="U90" s="18" t="s">
        <v>119</v>
      </c>
      <c r="V90" s="13">
        <v>292489996</v>
      </c>
      <c r="W90" s="13">
        <v>295799272.99999994</v>
      </c>
    </row>
    <row r="91" spans="1:23" ht="14.25" customHeight="1" x14ac:dyDescent="0.25">
      <c r="A91" s="10"/>
      <c r="B91" s="11" t="s">
        <v>121</v>
      </c>
      <c r="C91" s="12">
        <v>111716698.14209805</v>
      </c>
      <c r="D91" s="13">
        <v>63392490</v>
      </c>
      <c r="E91" s="13">
        <v>65122576.20000007</v>
      </c>
      <c r="F91" s="14">
        <f t="shared" si="22"/>
        <v>0.56743970287564283</v>
      </c>
      <c r="G91" s="15">
        <f t="shared" si="23"/>
        <v>0</v>
      </c>
      <c r="H91" s="16"/>
      <c r="I91" s="15"/>
      <c r="K91" s="42"/>
      <c r="L91" s="43"/>
      <c r="M91" s="44"/>
      <c r="N91" s="81"/>
      <c r="O91" s="48"/>
      <c r="P91" s="48"/>
      <c r="R91" s="48"/>
      <c r="U91" s="18" t="s">
        <v>120</v>
      </c>
      <c r="V91" s="13">
        <v>98992432</v>
      </c>
      <c r="W91" s="13">
        <v>102773950.40000026</v>
      </c>
    </row>
    <row r="92" spans="1:23" ht="14.25" customHeight="1" x14ac:dyDescent="0.25">
      <c r="A92" s="10"/>
      <c r="B92" s="11" t="s">
        <v>122</v>
      </c>
      <c r="C92" s="12">
        <v>1110855301.6839821</v>
      </c>
      <c r="D92" s="13">
        <v>367733476</v>
      </c>
      <c r="E92" s="13">
        <v>373233673.99999994</v>
      </c>
      <c r="F92" s="14">
        <f t="shared" si="22"/>
        <v>0.33103634239539631</v>
      </c>
      <c r="G92" s="15">
        <f t="shared" si="23"/>
        <v>0</v>
      </c>
      <c r="H92" s="16"/>
      <c r="I92" s="15"/>
      <c r="K92" s="42"/>
      <c r="L92" s="43"/>
      <c r="M92" s="44"/>
      <c r="N92" s="81"/>
      <c r="O92" s="48"/>
      <c r="P92" s="48"/>
      <c r="R92" s="48"/>
      <c r="U92" s="18" t="s">
        <v>121</v>
      </c>
      <c r="V92" s="13">
        <v>63392490</v>
      </c>
      <c r="W92" s="13">
        <v>65122576.20000007</v>
      </c>
    </row>
    <row r="93" spans="1:23" ht="14.25" customHeight="1" x14ac:dyDescent="0.25">
      <c r="A93" s="10"/>
      <c r="B93" s="11" t="s">
        <v>123</v>
      </c>
      <c r="C93" s="12">
        <v>233247960.8914704</v>
      </c>
      <c r="D93" s="13">
        <v>85108832</v>
      </c>
      <c r="E93" s="13">
        <v>86062064.000000149</v>
      </c>
      <c r="F93" s="14">
        <f t="shared" si="22"/>
        <v>0.36488564219260589</v>
      </c>
      <c r="G93" s="15">
        <f t="shared" si="23"/>
        <v>0</v>
      </c>
      <c r="H93" s="16"/>
      <c r="I93" s="15"/>
      <c r="K93" s="42"/>
      <c r="L93" s="43"/>
      <c r="M93" s="44"/>
      <c r="N93" s="81"/>
      <c r="O93" s="48"/>
      <c r="P93" s="48"/>
      <c r="R93" s="48"/>
      <c r="U93" s="18" t="s">
        <v>122</v>
      </c>
      <c r="V93" s="13">
        <v>367733476</v>
      </c>
      <c r="W93" s="13">
        <v>373233673.99999994</v>
      </c>
    </row>
    <row r="94" spans="1:23" ht="14.25" customHeight="1" x14ac:dyDescent="0.25">
      <c r="A94" s="10"/>
      <c r="B94" s="11" t="s">
        <v>124</v>
      </c>
      <c r="C94" s="12">
        <v>231931394.05522335</v>
      </c>
      <c r="D94" s="13">
        <v>133459959.32000001</v>
      </c>
      <c r="E94" s="13">
        <v>136449933.39999989</v>
      </c>
      <c r="F94" s="14">
        <f t="shared" si="22"/>
        <v>0.57542860837641896</v>
      </c>
      <c r="G94" s="15">
        <f t="shared" si="23"/>
        <v>0</v>
      </c>
      <c r="H94" s="16"/>
      <c r="I94" s="15"/>
      <c r="K94" s="42"/>
      <c r="L94" s="43"/>
      <c r="M94" s="44"/>
      <c r="N94" s="81"/>
      <c r="O94" s="48"/>
      <c r="P94" s="48"/>
      <c r="R94" s="48"/>
      <c r="U94" s="18" t="s">
        <v>124</v>
      </c>
      <c r="V94" s="13">
        <v>133459959.32000001</v>
      </c>
      <c r="W94" s="13">
        <v>136449933.39999989</v>
      </c>
    </row>
    <row r="95" spans="1:23" ht="14.25" customHeight="1" x14ac:dyDescent="0.25">
      <c r="A95" s="10"/>
      <c r="B95" s="11" t="s">
        <v>125</v>
      </c>
      <c r="C95" s="12">
        <v>42940812.978135683</v>
      </c>
      <c r="D95" s="13">
        <v>21823200</v>
      </c>
      <c r="E95" s="13">
        <v>23118084.000000007</v>
      </c>
      <c r="F95" s="14">
        <f t="shared" si="22"/>
        <v>0.50821580884162099</v>
      </c>
      <c r="G95" s="15">
        <f t="shared" si="23"/>
        <v>0</v>
      </c>
      <c r="H95" s="16"/>
      <c r="I95" s="15"/>
      <c r="K95" s="42"/>
      <c r="L95" s="43"/>
      <c r="M95" s="44"/>
      <c r="N95" s="81"/>
      <c r="O95" s="48"/>
      <c r="P95" s="48"/>
      <c r="R95" s="48"/>
      <c r="U95" s="18" t="s">
        <v>123</v>
      </c>
      <c r="V95" s="13">
        <v>85108832</v>
      </c>
      <c r="W95" s="13">
        <v>86062064.000000149</v>
      </c>
    </row>
    <row r="96" spans="1:23" ht="14.25" customHeight="1" x14ac:dyDescent="0.25">
      <c r="A96" s="10"/>
      <c r="B96" s="11" t="s">
        <v>126</v>
      </c>
      <c r="C96" s="12">
        <v>96853106.491356701</v>
      </c>
      <c r="D96" s="13">
        <v>85463172</v>
      </c>
      <c r="E96" s="13">
        <v>87934374.000000075</v>
      </c>
      <c r="F96" s="14">
        <f t="shared" si="22"/>
        <v>0.88239990534146517</v>
      </c>
      <c r="G96" s="15">
        <f t="shared" si="23"/>
        <v>0</v>
      </c>
      <c r="H96" s="16"/>
      <c r="I96" s="15"/>
      <c r="K96" s="42"/>
      <c r="L96" s="43"/>
      <c r="M96" s="44"/>
      <c r="N96" s="81"/>
      <c r="O96" s="48"/>
      <c r="P96" s="48"/>
      <c r="R96" s="48"/>
      <c r="U96" s="18" t="s">
        <v>125</v>
      </c>
      <c r="V96" s="13">
        <v>21823200</v>
      </c>
      <c r="W96" s="13">
        <v>23118084.000000007</v>
      </c>
    </row>
    <row r="97" spans="1:23" ht="14.25" customHeight="1" x14ac:dyDescent="0.25">
      <c r="A97" s="10"/>
      <c r="B97" s="11"/>
      <c r="C97" s="12"/>
      <c r="D97" s="12"/>
      <c r="E97" s="16"/>
      <c r="F97" s="14"/>
      <c r="G97" s="15"/>
      <c r="H97" s="16"/>
      <c r="I97" s="15"/>
      <c r="K97" s="42"/>
      <c r="L97" s="43"/>
      <c r="M97" s="44"/>
      <c r="N97" s="81"/>
      <c r="O97" s="48"/>
      <c r="P97" s="48"/>
      <c r="R97" s="48"/>
      <c r="U97" s="18" t="s">
        <v>126</v>
      </c>
      <c r="V97" s="13">
        <v>85463172</v>
      </c>
      <c r="W97" s="13">
        <v>87934374.000000075</v>
      </c>
    </row>
    <row r="98" spans="1:23" ht="14.25" customHeight="1" x14ac:dyDescent="0.2">
      <c r="A98" s="10"/>
      <c r="B98" s="11"/>
      <c r="C98" s="12"/>
      <c r="D98" s="12"/>
      <c r="E98" s="16"/>
      <c r="F98" s="14"/>
      <c r="G98" s="15"/>
      <c r="H98" s="16"/>
      <c r="I98" s="15"/>
      <c r="K98" s="42"/>
      <c r="L98" s="43"/>
      <c r="M98" s="44"/>
      <c r="N98" s="44"/>
      <c r="O98" s="81"/>
      <c r="P98" s="48"/>
      <c r="Q98" s="48"/>
      <c r="R98" s="48"/>
    </row>
    <row r="99" spans="1:23" ht="14.25" customHeight="1" x14ac:dyDescent="0.2">
      <c r="A99" s="26"/>
      <c r="B99" s="26" t="s">
        <v>127</v>
      </c>
      <c r="C99" s="27">
        <f>SUM(C87:C98)</f>
        <v>2816784437.5830541</v>
      </c>
      <c r="D99" s="27">
        <f>SUM(D87:D98)</f>
        <v>1379565952.3199999</v>
      </c>
      <c r="E99" s="27">
        <f>SUM(E87:E98)</f>
        <v>1407827512.3000004</v>
      </c>
      <c r="F99" s="28">
        <f t="shared" si="22"/>
        <v>0.4897662504496576</v>
      </c>
      <c r="G99" s="29">
        <f>+IF(F99&lt;80%,0,IF(F99&lt;90%,400000,IF(F99&lt;100%,500000,700000)))</f>
        <v>0</v>
      </c>
      <c r="H99" s="29">
        <f>SUM(H87:H98)</f>
        <v>0</v>
      </c>
      <c r="I99" s="29"/>
      <c r="K99" s="60"/>
      <c r="L99" s="39"/>
      <c r="M99" s="40"/>
      <c r="N99" s="44"/>
      <c r="O99" s="45"/>
      <c r="P99" s="48"/>
      <c r="Q99" s="48"/>
      <c r="R99" s="48"/>
    </row>
    <row r="100" spans="1:23" s="46" customFormat="1" ht="14.25" customHeight="1" x14ac:dyDescent="0.2">
      <c r="A100" s="61"/>
      <c r="B100" s="61"/>
      <c r="C100" s="62"/>
      <c r="D100" s="64"/>
      <c r="E100" s="64"/>
      <c r="F100" s="63"/>
      <c r="G100" s="64"/>
      <c r="H100" s="61"/>
      <c r="I100" s="64"/>
      <c r="K100" s="82"/>
      <c r="L100" s="42"/>
      <c r="M100" s="43"/>
      <c r="N100" s="44"/>
      <c r="O100" s="45"/>
      <c r="P100" s="74"/>
      <c r="Q100" s="74"/>
      <c r="R100" s="74"/>
      <c r="S100" s="70"/>
      <c r="T100" s="70"/>
    </row>
    <row r="101" spans="1:23" ht="14.25" customHeight="1" x14ac:dyDescent="0.2">
      <c r="A101" s="56" t="s">
        <v>128</v>
      </c>
      <c r="B101" s="56"/>
      <c r="C101" s="80">
        <f>SUM(C87:C98)</f>
        <v>2816784437.5830541</v>
      </c>
      <c r="D101" s="80">
        <f>SUM(D87:D98)</f>
        <v>1379565952.3199999</v>
      </c>
      <c r="E101" s="80">
        <f>SUM(E87:E98)</f>
        <v>1407827512.3000004</v>
      </c>
      <c r="F101" s="83">
        <f>+D101/C101</f>
        <v>0.4897662504496576</v>
      </c>
      <c r="G101" s="80">
        <f>SUM(G87:G99)</f>
        <v>0</v>
      </c>
      <c r="H101" s="59">
        <f>+H99</f>
        <v>0</v>
      </c>
      <c r="I101" s="80"/>
      <c r="K101" s="82"/>
      <c r="L101" s="43"/>
      <c r="M101" s="43"/>
      <c r="N101" s="44"/>
      <c r="O101" s="45"/>
      <c r="P101" s="48"/>
      <c r="Q101" s="48"/>
      <c r="R101" s="48"/>
    </row>
    <row r="102" spans="1:23" s="46" customFormat="1" ht="14.25" customHeight="1" x14ac:dyDescent="0.2">
      <c r="A102" s="61"/>
      <c r="B102" s="61"/>
      <c r="C102" s="62"/>
      <c r="D102" s="64"/>
      <c r="E102" s="64"/>
      <c r="F102" s="63"/>
      <c r="G102" s="15"/>
      <c r="H102" s="61"/>
      <c r="I102" s="64"/>
      <c r="K102" s="38"/>
      <c r="L102" s="84"/>
      <c r="M102" s="84"/>
      <c r="N102" s="40"/>
      <c r="O102" s="45"/>
      <c r="P102" s="74"/>
      <c r="Q102" s="74"/>
      <c r="R102" s="74"/>
      <c r="S102" s="70"/>
      <c r="T102" s="70"/>
      <c r="U102" s="8" t="s">
        <v>33</v>
      </c>
      <c r="V102" s="9">
        <v>2160187433.8000002</v>
      </c>
      <c r="W102" s="9">
        <v>2215581109.8519993</v>
      </c>
    </row>
    <row r="103" spans="1:23" ht="14.25" customHeight="1" x14ac:dyDescent="0.25">
      <c r="A103" s="10" t="s">
        <v>33</v>
      </c>
      <c r="B103" s="11" t="s">
        <v>129</v>
      </c>
      <c r="C103" s="12">
        <v>1044862286</v>
      </c>
      <c r="D103" s="13">
        <f>1007052135.8+8388800</f>
        <v>1015440935.8</v>
      </c>
      <c r="E103" s="13">
        <f>1030645911.372+8540169</f>
        <v>1039186080.372</v>
      </c>
      <c r="F103" s="14">
        <f t="shared" ref="F103" si="24">+D103/C103</f>
        <v>0.97184188711353292</v>
      </c>
      <c r="G103" s="15">
        <f>+IF($F$108&lt;80%,0,IF(D103&lt;500000000,IF(F103&lt;80%,0,IF(F103&lt;90%,0.05%*E103,IF(F103&lt;100%,0.1%*E103,0.15%*E103))),IF(F103&lt;80%,0,IF(F103&lt;90%,400000,IF(F103&lt;100%,500000,700000)))))</f>
        <v>500000</v>
      </c>
      <c r="H103" s="16"/>
      <c r="I103" s="15"/>
      <c r="K103" s="38"/>
      <c r="L103" s="39"/>
      <c r="M103" s="40"/>
      <c r="N103" s="40"/>
      <c r="O103" s="45"/>
      <c r="P103" s="48"/>
      <c r="Q103" s="48"/>
      <c r="R103" s="48"/>
      <c r="U103" s="18" t="s">
        <v>129</v>
      </c>
      <c r="V103" s="13">
        <v>1007052135.8</v>
      </c>
      <c r="W103" s="13">
        <v>1030645911.372</v>
      </c>
    </row>
    <row r="104" spans="1:23" ht="14.25" customHeight="1" x14ac:dyDescent="0.25">
      <c r="A104" s="10"/>
      <c r="B104" s="11" t="s">
        <v>130</v>
      </c>
      <c r="C104" s="12">
        <v>263777687</v>
      </c>
      <c r="D104" s="13">
        <v>222288564</v>
      </c>
      <c r="E104" s="13">
        <v>228339587.51999992</v>
      </c>
      <c r="F104" s="14">
        <f>+D104/C104</f>
        <v>0.84271177948421394</v>
      </c>
      <c r="G104" s="15">
        <f>+IF($F$108&lt;80%,0,IF(D104&lt;500000000,IF(F104&lt;80%,0,IF(F104&lt;90%,0.05%*E104,IF(F104&lt;100%,0.1%*E104,0.15%*E104))),IF(F104&lt;80%,0,IF(F104&lt;90%,400000,IF(F104&lt;100%,500000,700000)))))</f>
        <v>114169.79375999996</v>
      </c>
      <c r="H104" s="16"/>
      <c r="I104" s="15"/>
      <c r="K104" s="42"/>
      <c r="L104" s="43"/>
      <c r="M104" s="44"/>
      <c r="N104" s="44"/>
      <c r="O104" s="45"/>
      <c r="P104" s="48"/>
      <c r="Q104" s="48"/>
      <c r="R104" s="48"/>
      <c r="U104" s="18" t="s">
        <v>131</v>
      </c>
      <c r="V104" s="13">
        <v>8388800</v>
      </c>
      <c r="W104" s="13">
        <v>8540169</v>
      </c>
    </row>
    <row r="105" spans="1:23" ht="14.25" customHeight="1" x14ac:dyDescent="0.25">
      <c r="A105" s="10"/>
      <c r="B105" s="11" t="s">
        <v>132</v>
      </c>
      <c r="C105" s="12">
        <v>334377607</v>
      </c>
      <c r="D105" s="13">
        <v>275551601</v>
      </c>
      <c r="E105" s="13">
        <v>285118606.29999995</v>
      </c>
      <c r="F105" s="14">
        <f t="shared" ref="F105:F108" si="25">+D105/C105</f>
        <v>0.82407312939469657</v>
      </c>
      <c r="G105" s="15">
        <f t="shared" ref="G105:G107" si="26">+IF($F$108&lt;80%,0,IF(D105&lt;500000000,IF(F105&lt;80%,0,IF(F105&lt;90%,0.05%*E105,IF(F105&lt;100%,0.1%*E105,0.15%*E105))),IF(F105&lt;80%,0,IF(F105&lt;90%,400000,IF(F105&lt;100%,500000,700000)))))</f>
        <v>142559.30314999999</v>
      </c>
      <c r="H105" s="16"/>
      <c r="I105" s="15"/>
      <c r="K105" s="42"/>
      <c r="L105" s="43"/>
      <c r="M105" s="44"/>
      <c r="N105" s="44"/>
      <c r="O105" s="45"/>
      <c r="P105" s="48"/>
      <c r="Q105" s="48"/>
      <c r="R105" s="48"/>
      <c r="U105" s="18" t="s">
        <v>130</v>
      </c>
      <c r="V105" s="13">
        <v>222288564</v>
      </c>
      <c r="W105" s="13">
        <v>228339587.51999992</v>
      </c>
    </row>
    <row r="106" spans="1:23" ht="14.25" customHeight="1" x14ac:dyDescent="0.25">
      <c r="A106" s="10"/>
      <c r="B106" s="11" t="s">
        <v>133</v>
      </c>
      <c r="C106" s="12">
        <v>445226862</v>
      </c>
      <c r="D106" s="13">
        <v>366621181</v>
      </c>
      <c r="E106" s="13">
        <v>375908934.05999976</v>
      </c>
      <c r="F106" s="14">
        <f t="shared" si="25"/>
        <v>0.8234480268173936</v>
      </c>
      <c r="G106" s="15">
        <f t="shared" si="26"/>
        <v>187954.46702999988</v>
      </c>
      <c r="H106" s="16"/>
      <c r="I106" s="15"/>
      <c r="K106" s="42"/>
      <c r="L106" s="43"/>
      <c r="M106" s="44"/>
      <c r="N106" s="44"/>
      <c r="O106" s="42"/>
      <c r="P106" s="48"/>
      <c r="Q106" s="48"/>
      <c r="R106" s="48"/>
      <c r="U106" s="18" t="s">
        <v>134</v>
      </c>
      <c r="V106" s="13">
        <v>396000</v>
      </c>
      <c r="W106" s="13">
        <v>426888</v>
      </c>
    </row>
    <row r="107" spans="1:23" ht="14.25" customHeight="1" x14ac:dyDescent="0.25">
      <c r="A107" s="10"/>
      <c r="B107" s="11" t="s">
        <v>135</v>
      </c>
      <c r="C107" s="12">
        <v>330998462</v>
      </c>
      <c r="D107" s="13">
        <v>279889152</v>
      </c>
      <c r="E107" s="13">
        <v>286601013.59999979</v>
      </c>
      <c r="F107" s="14">
        <f t="shared" si="25"/>
        <v>0.84559049099146566</v>
      </c>
      <c r="G107" s="15">
        <f t="shared" si="26"/>
        <v>143300.50679999989</v>
      </c>
      <c r="H107" s="16"/>
      <c r="I107" s="15"/>
      <c r="K107" s="42"/>
      <c r="L107" s="43"/>
      <c r="M107" s="44"/>
      <c r="N107" s="44"/>
      <c r="O107" s="42"/>
      <c r="P107" s="48"/>
      <c r="Q107" s="48"/>
      <c r="R107" s="48"/>
      <c r="U107" s="18" t="s">
        <v>132</v>
      </c>
      <c r="V107" s="13">
        <v>275551601</v>
      </c>
      <c r="W107" s="13">
        <v>285118606.29999995</v>
      </c>
    </row>
    <row r="108" spans="1:23" ht="14.25" customHeight="1" x14ac:dyDescent="0.25">
      <c r="A108" s="26"/>
      <c r="B108" s="26" t="s">
        <v>136</v>
      </c>
      <c r="C108" s="27">
        <f>SUM(C103:C107)</f>
        <v>2419242904</v>
      </c>
      <c r="D108" s="27">
        <f>SUM(D103:D107)</f>
        <v>2159791433.8000002</v>
      </c>
      <c r="E108" s="27">
        <f>SUM(E103:E107)</f>
        <v>2215154221.8519993</v>
      </c>
      <c r="F108" s="28">
        <f t="shared" si="25"/>
        <v>0.8927550971541468</v>
      </c>
      <c r="G108" s="29">
        <f>+IF(F108&lt;80%,0,IF(F108&lt;90%,400000,IF(F108&lt;100%,500000,700000)))</f>
        <v>400000</v>
      </c>
      <c r="H108" s="29">
        <f>SUM(H103:H107)</f>
        <v>0</v>
      </c>
      <c r="I108" s="29"/>
      <c r="K108" s="42"/>
      <c r="L108" s="43"/>
      <c r="M108" s="44"/>
      <c r="N108" s="44"/>
      <c r="O108" s="48"/>
      <c r="P108" s="48"/>
      <c r="Q108" s="48"/>
      <c r="R108" s="48"/>
      <c r="U108" s="18" t="s">
        <v>133</v>
      </c>
      <c r="V108" s="13">
        <v>366621181</v>
      </c>
      <c r="W108" s="13">
        <v>375908934.05999976</v>
      </c>
    </row>
    <row r="109" spans="1:23" s="46" customFormat="1" ht="13.5" customHeight="1" x14ac:dyDescent="0.25">
      <c r="A109" s="61"/>
      <c r="B109" s="61"/>
      <c r="C109" s="62"/>
      <c r="D109" s="64"/>
      <c r="E109" s="64"/>
      <c r="F109" s="85"/>
      <c r="G109" s="64"/>
      <c r="H109" s="61"/>
      <c r="I109" s="64"/>
      <c r="K109" s="42"/>
      <c r="L109" s="43"/>
      <c r="M109" s="44"/>
      <c r="N109" s="44"/>
      <c r="O109" s="74"/>
      <c r="P109" s="74"/>
      <c r="Q109" s="74"/>
      <c r="R109" s="74"/>
      <c r="S109" s="70"/>
      <c r="T109" s="70"/>
      <c r="U109" s="18" t="s">
        <v>135</v>
      </c>
      <c r="V109" s="13">
        <v>279889152</v>
      </c>
      <c r="W109" s="13">
        <v>286601013.59999979</v>
      </c>
    </row>
    <row r="110" spans="1:23" ht="14.25" customHeight="1" x14ac:dyDescent="0.2">
      <c r="A110" s="56" t="s">
        <v>137</v>
      </c>
      <c r="B110" s="56"/>
      <c r="C110" s="57">
        <f>SUM(C103:C107)</f>
        <v>2419242904</v>
      </c>
      <c r="D110" s="57">
        <f>SUM(D103:D107)</f>
        <v>2159791433.8000002</v>
      </c>
      <c r="E110" s="57">
        <f>SUM(E103:E107)</f>
        <v>2215154221.8519993</v>
      </c>
      <c r="F110" s="28">
        <f t="shared" ref="F110" si="27">+D110/C110</f>
        <v>0.8927550971541468</v>
      </c>
      <c r="G110" s="57">
        <f>SUM(G103:G108)</f>
        <v>1487984.0707399996</v>
      </c>
      <c r="H110" s="59">
        <f>+H108</f>
        <v>0</v>
      </c>
      <c r="I110" s="57"/>
      <c r="K110" s="42"/>
      <c r="L110" s="43"/>
      <c r="M110" s="44"/>
      <c r="N110" s="40"/>
      <c r="O110" s="48"/>
      <c r="P110" s="48"/>
      <c r="Q110" s="48"/>
      <c r="R110" s="48"/>
      <c r="U110" s="46"/>
      <c r="V110" s="46"/>
      <c r="W110" s="46"/>
    </row>
    <row r="111" spans="1:23" s="46" customFormat="1" ht="7.5" customHeight="1" x14ac:dyDescent="0.2">
      <c r="A111" s="61"/>
      <c r="B111" s="61"/>
      <c r="C111" s="62"/>
      <c r="D111" s="64"/>
      <c r="E111" s="64"/>
      <c r="F111" s="63"/>
      <c r="G111" s="64"/>
      <c r="H111" s="61"/>
      <c r="I111" s="64"/>
      <c r="K111" s="60"/>
      <c r="L111" s="39"/>
      <c r="M111" s="40"/>
      <c r="N111" s="86"/>
      <c r="O111" s="74"/>
      <c r="P111" s="74"/>
      <c r="Q111" s="74"/>
      <c r="R111" s="74"/>
      <c r="S111" s="70"/>
      <c r="T111" s="70"/>
    </row>
    <row r="112" spans="1:23" s="46" customFormat="1" ht="15" customHeight="1" x14ac:dyDescent="0.2">
      <c r="A112" s="61"/>
      <c r="B112" s="61"/>
      <c r="C112" s="62"/>
      <c r="D112" s="64"/>
      <c r="E112" s="64"/>
      <c r="F112" s="14"/>
      <c r="G112" s="15"/>
      <c r="H112" s="16"/>
      <c r="I112" s="64"/>
      <c r="K112" s="41"/>
      <c r="L112" s="45"/>
      <c r="M112" s="45"/>
      <c r="N112" s="86"/>
      <c r="O112" s="74"/>
      <c r="P112" s="74"/>
      <c r="Q112" s="74"/>
      <c r="R112" s="74"/>
      <c r="S112" s="70"/>
      <c r="T112" s="70"/>
    </row>
    <row r="113" spans="1:23" s="46" customFormat="1" ht="15" customHeight="1" x14ac:dyDescent="0.2">
      <c r="A113" s="87"/>
      <c r="B113" s="87" t="s">
        <v>138</v>
      </c>
      <c r="C113" s="88">
        <f>+C47+C122</f>
        <v>152497940.99522886</v>
      </c>
      <c r="D113" s="88">
        <f>+D47+D122</f>
        <v>110454675.2825</v>
      </c>
      <c r="E113" s="88">
        <f>+E47+E122</f>
        <v>109968328.15150002</v>
      </c>
      <c r="F113" s="28">
        <f t="shared" ref="F113:F127" si="28">+D113/C113</f>
        <v>0.72430273196905492</v>
      </c>
      <c r="G113" s="29">
        <f>+IF(F113&lt;80%,0,IF(F113&lt;90%,400000,IF(F113&lt;100%,500000,700000)))</f>
        <v>0</v>
      </c>
      <c r="H113" s="29"/>
      <c r="I113" s="89"/>
      <c r="K113" s="86"/>
      <c r="L113" s="90"/>
      <c r="M113" s="90"/>
      <c r="Q113" s="74"/>
      <c r="R113" s="74"/>
      <c r="S113" s="70"/>
      <c r="T113" s="70"/>
    </row>
    <row r="114" spans="1:23" ht="14.25" customHeight="1" x14ac:dyDescent="0.25">
      <c r="A114" s="10" t="s">
        <v>29</v>
      </c>
      <c r="B114" s="11" t="s">
        <v>139</v>
      </c>
      <c r="C114" s="12">
        <v>1022256618.3260331</v>
      </c>
      <c r="D114" s="13">
        <v>759623288</v>
      </c>
      <c r="E114" s="13">
        <v>784499196.80000007</v>
      </c>
      <c r="F114" s="14">
        <f t="shared" si="28"/>
        <v>0.74308473467640568</v>
      </c>
      <c r="G114" s="15">
        <f t="shared" ref="G114:G123" si="29">+IF($F$124&lt;80%,0,IF(D114&lt;500000000,IF(F114&lt;80%,0,IF(F114&lt;90%,0.05%*E114,IF(F114&lt;100%,0.1%*E114,0.15%*E114))),IF(F114&lt;80%,0,IF(F114&lt;90%,400000,IF(F114&lt;100%,500000,700000)))))</f>
        <v>0</v>
      </c>
      <c r="H114" s="16"/>
      <c r="I114" s="15"/>
      <c r="K114" s="38"/>
      <c r="L114" s="39"/>
      <c r="M114" s="40"/>
      <c r="N114" s="38"/>
      <c r="O114" s="41"/>
      <c r="Q114" s="91"/>
      <c r="R114" s="48"/>
      <c r="U114" s="8" t="s">
        <v>29</v>
      </c>
      <c r="V114" s="9">
        <v>5616931707.8225002</v>
      </c>
      <c r="W114" s="9">
        <v>5746613663.8135014</v>
      </c>
    </row>
    <row r="115" spans="1:23" ht="14.25" customHeight="1" x14ac:dyDescent="0.25">
      <c r="A115" s="10"/>
      <c r="B115" s="11" t="s">
        <v>140</v>
      </c>
      <c r="C115" s="92">
        <v>458099399.2831679</v>
      </c>
      <c r="D115" s="13">
        <v>656374088.5</v>
      </c>
      <c r="E115" s="13">
        <v>663206374.49000001</v>
      </c>
      <c r="F115" s="14">
        <f t="shared" si="28"/>
        <v>1.4328202340520235</v>
      </c>
      <c r="G115" s="15">
        <f t="shared" si="29"/>
        <v>700000</v>
      </c>
      <c r="H115" s="16"/>
      <c r="I115" s="15"/>
      <c r="K115" s="42"/>
      <c r="L115" s="43"/>
      <c r="M115" s="44"/>
      <c r="N115" s="38"/>
      <c r="O115" s="41"/>
      <c r="Q115" s="91"/>
      <c r="R115" s="48"/>
      <c r="U115" s="18" t="s">
        <v>139</v>
      </c>
      <c r="V115" s="13">
        <v>759623288</v>
      </c>
      <c r="W115" s="13">
        <v>784499196.80000007</v>
      </c>
    </row>
    <row r="116" spans="1:23" ht="14.25" customHeight="1" x14ac:dyDescent="0.25">
      <c r="A116" s="10"/>
      <c r="B116" s="11" t="s">
        <v>141</v>
      </c>
      <c r="C116" s="12">
        <v>322628684.73606366</v>
      </c>
      <c r="D116" s="13">
        <v>356997336</v>
      </c>
      <c r="E116" s="13">
        <v>369421866.00000006</v>
      </c>
      <c r="F116" s="14">
        <f t="shared" si="28"/>
        <v>1.1065269546384342</v>
      </c>
      <c r="G116" s="15">
        <f t="shared" si="29"/>
        <v>554132.79900000012</v>
      </c>
      <c r="H116" s="16"/>
      <c r="I116" s="15"/>
      <c r="K116" s="42"/>
      <c r="L116" s="43"/>
      <c r="M116" s="44"/>
      <c r="N116" s="38"/>
      <c r="O116" s="51"/>
      <c r="P116" s="48"/>
      <c r="Q116" s="91"/>
      <c r="U116" s="18" t="s">
        <v>142</v>
      </c>
      <c r="V116" s="13">
        <v>356997336</v>
      </c>
      <c r="W116" s="13">
        <v>369421866.00000006</v>
      </c>
    </row>
    <row r="117" spans="1:23" ht="14.25" customHeight="1" x14ac:dyDescent="0.25">
      <c r="A117" s="10"/>
      <c r="B117" s="11" t="s">
        <v>143</v>
      </c>
      <c r="C117" s="92">
        <v>1763787799.6375861</v>
      </c>
      <c r="D117" s="13">
        <f>849268918+93600</f>
        <v>849362518</v>
      </c>
      <c r="E117" s="13">
        <f>871083606.8+981700</f>
        <v>872065306.79999995</v>
      </c>
      <c r="F117" s="14">
        <f t="shared" si="28"/>
        <v>0.48155595484588481</v>
      </c>
      <c r="G117" s="15">
        <f t="shared" si="29"/>
        <v>0</v>
      </c>
      <c r="H117" s="16"/>
      <c r="I117" s="15"/>
      <c r="K117" s="42"/>
      <c r="L117" s="43"/>
      <c r="M117" s="44"/>
      <c r="N117" s="42"/>
      <c r="O117" s="42"/>
      <c r="Q117" s="91"/>
      <c r="U117" s="18" t="s">
        <v>144</v>
      </c>
      <c r="V117" s="13">
        <v>352626738</v>
      </c>
      <c r="W117" s="13">
        <v>365186727.40000015</v>
      </c>
    </row>
    <row r="118" spans="1:23" ht="14.25" customHeight="1" x14ac:dyDescent="0.25">
      <c r="A118" s="10"/>
      <c r="B118" s="11" t="s">
        <v>145</v>
      </c>
      <c r="C118" s="92">
        <v>484679871.63966823</v>
      </c>
      <c r="D118" s="13">
        <v>516012515.5</v>
      </c>
      <c r="E118" s="13">
        <v>533653619.50999975</v>
      </c>
      <c r="F118" s="14">
        <f t="shared" si="28"/>
        <v>1.0646460595822427</v>
      </c>
      <c r="G118" s="15">
        <f t="shared" si="29"/>
        <v>700000</v>
      </c>
      <c r="H118" s="16"/>
      <c r="I118" s="15"/>
      <c r="K118" s="42"/>
      <c r="L118" s="43"/>
      <c r="M118" s="44"/>
      <c r="N118" s="42"/>
      <c r="O118" s="42"/>
      <c r="P118" s="48"/>
      <c r="Q118" s="91"/>
      <c r="U118" s="18" t="s">
        <v>146</v>
      </c>
      <c r="V118" s="13">
        <v>936000</v>
      </c>
      <c r="W118" s="13">
        <v>981699.84</v>
      </c>
    </row>
    <row r="119" spans="1:23" ht="14.25" customHeight="1" x14ac:dyDescent="0.25">
      <c r="A119" s="10"/>
      <c r="B119" s="11" t="s">
        <v>147</v>
      </c>
      <c r="C119" s="92">
        <v>274956873.82494313</v>
      </c>
      <c r="D119" s="13">
        <v>352626738</v>
      </c>
      <c r="E119" s="13">
        <v>365186727.40000015</v>
      </c>
      <c r="F119" s="14">
        <f t="shared" si="28"/>
        <v>1.2824801689609948</v>
      </c>
      <c r="G119" s="15">
        <f t="shared" si="29"/>
        <v>547780.09110000019</v>
      </c>
      <c r="H119" s="16"/>
      <c r="I119" s="15"/>
      <c r="K119" s="42"/>
      <c r="L119" s="43"/>
      <c r="M119" s="44"/>
      <c r="N119" s="42"/>
      <c r="O119" s="42"/>
      <c r="P119" s="48"/>
      <c r="Q119" s="91"/>
      <c r="U119" s="18" t="s">
        <v>148</v>
      </c>
      <c r="V119" s="13">
        <v>656374088.5</v>
      </c>
      <c r="W119" s="13">
        <v>663206374.49000001</v>
      </c>
    </row>
    <row r="120" spans="1:23" ht="14.25" customHeight="1" x14ac:dyDescent="0.25">
      <c r="A120" s="10"/>
      <c r="B120" s="11" t="s">
        <v>149</v>
      </c>
      <c r="C120" s="92">
        <v>1002240281.3651265</v>
      </c>
      <c r="D120" s="13">
        <v>1098925153</v>
      </c>
      <c r="E120" s="13">
        <v>1112342950.6200004</v>
      </c>
      <c r="F120" s="14">
        <f t="shared" si="28"/>
        <v>1.0964687544818907</v>
      </c>
      <c r="G120" s="15">
        <f t="shared" si="29"/>
        <v>700000</v>
      </c>
      <c r="H120" s="16"/>
      <c r="I120" s="15"/>
      <c r="K120" s="42"/>
      <c r="L120" s="43"/>
      <c r="M120" s="44"/>
      <c r="N120" s="42"/>
      <c r="O120" s="42"/>
      <c r="Q120" s="91"/>
      <c r="U120" s="18" t="s">
        <v>143</v>
      </c>
      <c r="V120" s="13">
        <v>849268918</v>
      </c>
      <c r="W120" s="13">
        <v>871083606.80000031</v>
      </c>
    </row>
    <row r="121" spans="1:23" ht="14.25" customHeight="1" x14ac:dyDescent="0.25">
      <c r="A121" s="10"/>
      <c r="B121" s="11" t="s">
        <v>150</v>
      </c>
      <c r="C121" s="92">
        <v>275361607.23259544</v>
      </c>
      <c r="D121" s="13">
        <v>371685724</v>
      </c>
      <c r="E121" s="13">
        <v>382166930.64000028</v>
      </c>
      <c r="F121" s="14">
        <f t="shared" si="28"/>
        <v>1.349809538575363</v>
      </c>
      <c r="G121" s="15">
        <f t="shared" si="29"/>
        <v>573250.39596000046</v>
      </c>
      <c r="H121" s="16"/>
      <c r="I121" s="15"/>
      <c r="K121" s="42"/>
      <c r="L121" s="43"/>
      <c r="M121" s="44"/>
      <c r="N121" s="42"/>
      <c r="O121" s="41"/>
      <c r="Q121" s="91"/>
      <c r="U121" s="18" t="s">
        <v>151</v>
      </c>
      <c r="V121" s="13">
        <v>516012515.5</v>
      </c>
      <c r="W121" s="13">
        <v>533653619.50999975</v>
      </c>
    </row>
    <row r="122" spans="1:23" ht="14.25" customHeight="1" x14ac:dyDescent="0.25">
      <c r="A122" s="10"/>
      <c r="B122" s="11" t="s">
        <v>152</v>
      </c>
      <c r="C122" s="12">
        <v>100781463.80279288</v>
      </c>
      <c r="D122" s="13">
        <v>71864537.822500005</v>
      </c>
      <c r="E122" s="13">
        <v>72057302.27350001</v>
      </c>
      <c r="F122" s="14">
        <f t="shared" si="28"/>
        <v>0.71307297106859924</v>
      </c>
      <c r="G122" s="15">
        <f t="shared" si="29"/>
        <v>0</v>
      </c>
      <c r="H122" s="16"/>
      <c r="I122" s="15"/>
      <c r="K122" s="11"/>
      <c r="L122" s="43"/>
      <c r="M122" s="44"/>
      <c r="N122" s="42"/>
      <c r="O122" s="42"/>
      <c r="Q122" s="91"/>
      <c r="U122" s="18" t="s">
        <v>153</v>
      </c>
      <c r="V122" s="13">
        <v>1098925153</v>
      </c>
      <c r="W122" s="13">
        <v>1112342950.6200004</v>
      </c>
    </row>
    <row r="123" spans="1:23" ht="14.25" customHeight="1" x14ac:dyDescent="0.25">
      <c r="A123" s="10"/>
      <c r="B123" s="11" t="s">
        <v>154</v>
      </c>
      <c r="C123" s="12">
        <v>518510620.15202314</v>
      </c>
      <c r="D123" s="13">
        <v>582617409</v>
      </c>
      <c r="E123" s="13">
        <v>592013389.44000006</v>
      </c>
      <c r="F123" s="14">
        <f t="shared" si="28"/>
        <v>1.1236364046491107</v>
      </c>
      <c r="G123" s="15">
        <f t="shared" si="29"/>
        <v>700000</v>
      </c>
      <c r="H123" s="16"/>
      <c r="I123" s="15"/>
      <c r="K123" s="42"/>
      <c r="L123" s="43"/>
      <c r="M123" s="44"/>
      <c r="N123" s="42"/>
      <c r="O123" s="48"/>
      <c r="Q123" s="91"/>
      <c r="U123" s="18" t="s">
        <v>155</v>
      </c>
      <c r="V123" s="13">
        <v>371685724</v>
      </c>
      <c r="W123" s="13">
        <v>382166930.64000028</v>
      </c>
    </row>
    <row r="124" spans="1:23" s="94" customFormat="1" ht="14.25" customHeight="1" x14ac:dyDescent="0.25">
      <c r="A124" s="26"/>
      <c r="B124" s="26" t="s">
        <v>156</v>
      </c>
      <c r="C124" s="27">
        <f>SUM(C114:C123)</f>
        <v>6223303220.000001</v>
      </c>
      <c r="D124" s="27">
        <f>SUM(D114:D123)</f>
        <v>5616089307.8225002</v>
      </c>
      <c r="E124" s="27">
        <f>SUM(E114:E123)</f>
        <v>5746613663.9735012</v>
      </c>
      <c r="F124" s="28">
        <f t="shared" si="28"/>
        <v>0.90242900101250401</v>
      </c>
      <c r="G124" s="29">
        <f>+IF(F124&lt;80%,0,IF(F124&lt;90%,400000,IF(F124&lt;100%,500000,700000)))</f>
        <v>500000</v>
      </c>
      <c r="H124" s="93">
        <f>SUM(H114:H123)</f>
        <v>0</v>
      </c>
      <c r="I124" s="29"/>
      <c r="K124" s="42"/>
      <c r="L124" s="43"/>
      <c r="M124" s="44"/>
      <c r="N124" s="95"/>
      <c r="O124" s="96"/>
      <c r="P124" s="74"/>
      <c r="Q124" s="7"/>
      <c r="R124" s="97"/>
      <c r="S124" s="97"/>
      <c r="T124" s="97"/>
      <c r="U124" s="18" t="s">
        <v>157</v>
      </c>
      <c r="V124" s="13">
        <v>582617409</v>
      </c>
      <c r="W124" s="13">
        <v>592013389.44000006</v>
      </c>
    </row>
    <row r="125" spans="1:23" s="94" customFormat="1" ht="14.25" customHeight="1" x14ac:dyDescent="0.25">
      <c r="A125" s="56" t="s">
        <v>158</v>
      </c>
      <c r="B125" s="56"/>
      <c r="C125" s="57">
        <f>+C124</f>
        <v>6223303220.000001</v>
      </c>
      <c r="D125" s="57">
        <f t="shared" ref="D125:E125" si="30">+D124</f>
        <v>5616089307.8225002</v>
      </c>
      <c r="E125" s="57">
        <f t="shared" si="30"/>
        <v>5746613663.9735012</v>
      </c>
      <c r="F125" s="58">
        <f>+D125/C125</f>
        <v>0.90242900101250401</v>
      </c>
      <c r="G125" s="57">
        <f>SUM(G112:G124)</f>
        <v>4975163.2860600008</v>
      </c>
      <c r="H125" s="57">
        <f t="shared" ref="H125" si="31">+H124</f>
        <v>0</v>
      </c>
      <c r="I125" s="57"/>
      <c r="K125" s="42"/>
      <c r="L125" s="43"/>
      <c r="M125" s="44"/>
      <c r="Q125" s="97"/>
      <c r="R125" s="97"/>
      <c r="S125" s="97"/>
      <c r="T125" s="97"/>
      <c r="U125" s="18" t="s">
        <v>152</v>
      </c>
      <c r="V125" s="13">
        <v>71864537.822500005</v>
      </c>
      <c r="W125" s="13">
        <v>72057302.27350001</v>
      </c>
    </row>
    <row r="126" spans="1:23" s="46" customFormat="1" ht="14.25" customHeight="1" x14ac:dyDescent="0.2">
      <c r="A126" s="61"/>
      <c r="B126" s="61"/>
      <c r="C126" s="62"/>
      <c r="D126" s="64"/>
      <c r="E126" s="64"/>
      <c r="F126" s="63"/>
      <c r="G126" s="64"/>
      <c r="H126" s="61"/>
      <c r="I126" s="64"/>
      <c r="K126" s="42"/>
      <c r="L126" s="43"/>
      <c r="M126" s="44"/>
      <c r="O126" s="70"/>
      <c r="P126" s="70"/>
      <c r="Q126" s="70"/>
      <c r="R126" s="70"/>
      <c r="S126" s="70"/>
      <c r="T126" s="70"/>
    </row>
    <row r="127" spans="1:23" s="94" customFormat="1" ht="14.25" customHeight="1" x14ac:dyDescent="0.2">
      <c r="A127" s="98" t="s">
        <v>159</v>
      </c>
      <c r="B127" s="98"/>
      <c r="C127" s="99">
        <f>+C26+C42+C52+C62+C85+C101+C110+C125</f>
        <v>39021865477.523628</v>
      </c>
      <c r="D127" s="99">
        <f>+D26+D42+D52+D62+D85+D101+D110+D125</f>
        <v>33841884308.299202</v>
      </c>
      <c r="E127" s="99">
        <f>+E26+E42+E52+E62+E85+E101+E110+E125</f>
        <v>34375475202.592003</v>
      </c>
      <c r="F127" s="100">
        <f t="shared" si="28"/>
        <v>0.86725439427779105</v>
      </c>
      <c r="G127" s="99">
        <f>+G26+G42+G52+G62+G85+G101+G110+G125</f>
        <v>26015053.289252028</v>
      </c>
      <c r="H127" s="99">
        <f>+H26+H42+H52+H62+H85+H101+H110+H125</f>
        <v>0</v>
      </c>
      <c r="I127" s="99"/>
      <c r="K127" s="42"/>
      <c r="L127" s="43"/>
      <c r="M127" s="44"/>
      <c r="N127" s="38"/>
      <c r="Q127" s="97"/>
      <c r="R127" s="97"/>
      <c r="S127" s="97"/>
      <c r="T127" s="97"/>
    </row>
    <row r="128" spans="1:23" s="94" customFormat="1" ht="14.25" customHeight="1" x14ac:dyDescent="0.2">
      <c r="A128" s="86"/>
      <c r="B128" s="86"/>
      <c r="C128" s="101"/>
      <c r="D128" s="101"/>
      <c r="E128" s="74"/>
      <c r="G128" s="101"/>
      <c r="I128" s="101"/>
      <c r="K128" s="11"/>
      <c r="L128" s="39"/>
      <c r="M128" s="40"/>
      <c r="Q128" s="97"/>
      <c r="R128" s="97"/>
      <c r="S128" s="97"/>
      <c r="T128" s="97"/>
    </row>
    <row r="129" spans="1:20" s="94" customFormat="1" x14ac:dyDescent="0.2">
      <c r="A129" s="102" t="s">
        <v>160</v>
      </c>
      <c r="B129" s="86"/>
      <c r="C129" s="101"/>
      <c r="D129" s="101"/>
      <c r="E129" s="101"/>
      <c r="F129" s="103"/>
      <c r="G129" s="101"/>
      <c r="I129" s="101"/>
      <c r="K129" s="104"/>
      <c r="L129" s="105"/>
      <c r="M129" s="105"/>
      <c r="Q129" s="97"/>
      <c r="R129" s="97"/>
      <c r="S129" s="97"/>
      <c r="T129" s="97"/>
    </row>
    <row r="130" spans="1:20" s="94" customFormat="1" ht="25.5" x14ac:dyDescent="0.2">
      <c r="A130" s="3" t="s">
        <v>161</v>
      </c>
      <c r="B130" s="3" t="s">
        <v>162</v>
      </c>
      <c r="C130" s="3" t="s">
        <v>2</v>
      </c>
      <c r="D130" s="3" t="s">
        <v>3</v>
      </c>
      <c r="E130" s="3" t="s">
        <v>4</v>
      </c>
      <c r="F130" s="3" t="s">
        <v>5</v>
      </c>
      <c r="G130" s="3" t="s">
        <v>6</v>
      </c>
      <c r="I130" s="106"/>
      <c r="K130" s="104"/>
      <c r="L130" s="105"/>
      <c r="M130" s="105"/>
      <c r="Q130" s="97"/>
      <c r="R130" s="97"/>
      <c r="S130" s="97"/>
      <c r="T130" s="97"/>
    </row>
    <row r="131" spans="1:20" s="94" customFormat="1" x14ac:dyDescent="0.2">
      <c r="A131" s="107" t="s">
        <v>9</v>
      </c>
      <c r="B131" s="108" t="s">
        <v>163</v>
      </c>
      <c r="C131" s="109">
        <f>+C26</f>
        <v>8518026212.2090216</v>
      </c>
      <c r="D131" s="109">
        <f>+D26</f>
        <v>7208738171.2609997</v>
      </c>
      <c r="E131" s="109">
        <f>+E26</f>
        <v>7275337359.8477001</v>
      </c>
      <c r="F131" s="14">
        <f>+D131/C131</f>
        <v>0.84629208594458205</v>
      </c>
      <c r="G131" s="15">
        <f>+G26</f>
        <v>6016993.1294170273</v>
      </c>
      <c r="I131" s="110"/>
      <c r="K131" s="104"/>
      <c r="L131" s="104"/>
      <c r="M131" s="104"/>
      <c r="Q131" s="97"/>
      <c r="R131" s="97"/>
      <c r="S131" s="97"/>
      <c r="T131" s="97"/>
    </row>
    <row r="132" spans="1:20" s="94" customFormat="1" x14ac:dyDescent="0.2">
      <c r="A132" s="107" t="s">
        <v>24</v>
      </c>
      <c r="B132" s="10" t="s">
        <v>164</v>
      </c>
      <c r="C132" s="109">
        <f>+C42</f>
        <v>5634015060</v>
      </c>
      <c r="D132" s="109">
        <f>+D42</f>
        <v>5253419439.9277</v>
      </c>
      <c r="E132" s="109">
        <f>+E42</f>
        <v>5363983155.6599998</v>
      </c>
      <c r="F132" s="14">
        <f t="shared" ref="F132:F140" si="32">+D132/C132</f>
        <v>0.93244682237816023</v>
      </c>
      <c r="G132" s="15">
        <f>+G42</f>
        <v>4971443.2638399992</v>
      </c>
      <c r="I132" s="110"/>
      <c r="K132" s="104"/>
      <c r="L132" s="104"/>
      <c r="M132" s="104"/>
      <c r="Q132" s="97"/>
      <c r="R132" s="97"/>
      <c r="S132" s="97"/>
      <c r="T132" s="97"/>
    </row>
    <row r="133" spans="1:20" s="94" customFormat="1" x14ac:dyDescent="0.2">
      <c r="A133" s="107" t="s">
        <v>26</v>
      </c>
      <c r="B133" s="108" t="s">
        <v>165</v>
      </c>
      <c r="C133" s="109">
        <f>+C51</f>
        <v>3078919169.0249987</v>
      </c>
      <c r="D133" s="109">
        <f>+D51</f>
        <v>2927711438.0599999</v>
      </c>
      <c r="E133" s="109">
        <f>+E51</f>
        <v>2930008526.9179997</v>
      </c>
      <c r="F133" s="14">
        <f t="shared" si="32"/>
        <v>0.95088934698702021</v>
      </c>
      <c r="G133" s="15">
        <f>+G52</f>
        <v>2414809.4388100002</v>
      </c>
      <c r="I133" s="110"/>
      <c r="K133" s="12"/>
      <c r="L133" s="16"/>
      <c r="M133" s="104"/>
      <c r="Q133" s="97"/>
      <c r="R133" s="97"/>
      <c r="S133" s="97"/>
      <c r="T133" s="97"/>
    </row>
    <row r="134" spans="1:20" s="94" customFormat="1" x14ac:dyDescent="0.2">
      <c r="A134" s="10" t="s">
        <v>80</v>
      </c>
      <c r="B134" s="10" t="s">
        <v>164</v>
      </c>
      <c r="C134" s="109">
        <f>+C60</f>
        <v>5044738200</v>
      </c>
      <c r="D134" s="109">
        <f>+D60</f>
        <v>4524640408.1000004</v>
      </c>
      <c r="E134" s="109">
        <f>+E60</f>
        <v>4555881239.4700012</v>
      </c>
      <c r="F134" s="14">
        <f t="shared" si="32"/>
        <v>0.89690291720192739</v>
      </c>
      <c r="G134" s="15">
        <f>+G62</f>
        <v>2173565.168335001</v>
      </c>
      <c r="I134" s="110"/>
      <c r="K134" s="104"/>
      <c r="L134" s="104"/>
      <c r="M134" s="104"/>
      <c r="Q134" s="97"/>
      <c r="R134" s="97"/>
      <c r="S134" s="97"/>
      <c r="T134" s="97"/>
    </row>
    <row r="135" spans="1:20" s="94" customFormat="1" x14ac:dyDescent="0.2">
      <c r="A135" s="107" t="s">
        <v>31</v>
      </c>
      <c r="B135" s="108" t="s">
        <v>166</v>
      </c>
      <c r="C135" s="109">
        <f>+C85</f>
        <v>5286836274.7065563</v>
      </c>
      <c r="D135" s="109">
        <f>+D85</f>
        <v>4771928157.0079994</v>
      </c>
      <c r="E135" s="109">
        <f>+E85</f>
        <v>4880669522.5708008</v>
      </c>
      <c r="F135" s="14">
        <f t="shared" si="32"/>
        <v>0.90260562443327474</v>
      </c>
      <c r="G135" s="15">
        <f>+G85</f>
        <v>3975094.9320500013</v>
      </c>
      <c r="I135" s="110"/>
      <c r="K135" s="104"/>
      <c r="L135" s="104"/>
      <c r="M135" s="104"/>
      <c r="N135" s="5"/>
      <c r="O135" s="7"/>
      <c r="P135" s="7"/>
      <c r="Q135" s="97"/>
      <c r="R135" s="97"/>
      <c r="S135" s="97"/>
      <c r="T135" s="97"/>
    </row>
    <row r="136" spans="1:20" s="94" customFormat="1" x14ac:dyDescent="0.2">
      <c r="A136" s="107" t="s">
        <v>35</v>
      </c>
      <c r="B136" s="108" t="s">
        <v>163</v>
      </c>
      <c r="C136" s="109">
        <f>+C99</f>
        <v>2816784437.5830541</v>
      </c>
      <c r="D136" s="109">
        <f>+D99</f>
        <v>1379565952.3199999</v>
      </c>
      <c r="E136" s="109">
        <f>+E99</f>
        <v>1407827512.3000004</v>
      </c>
      <c r="F136" s="14">
        <f t="shared" si="32"/>
        <v>0.4897662504496576</v>
      </c>
      <c r="G136" s="15">
        <f>+G101</f>
        <v>0</v>
      </c>
      <c r="I136" s="110"/>
      <c r="K136" s="104"/>
      <c r="L136" s="104"/>
      <c r="M136" s="104"/>
      <c r="O136" s="97"/>
      <c r="P136" s="97"/>
      <c r="Q136" s="97"/>
      <c r="R136" s="97"/>
      <c r="S136" s="97"/>
      <c r="T136" s="97"/>
    </row>
    <row r="137" spans="1:20" s="94" customFormat="1" x14ac:dyDescent="0.2">
      <c r="A137" s="107" t="s">
        <v>33</v>
      </c>
      <c r="B137" s="108" t="s">
        <v>167</v>
      </c>
      <c r="C137" s="109">
        <f>+C108</f>
        <v>2419242904</v>
      </c>
      <c r="D137" s="109">
        <f>+D108</f>
        <v>2159791433.8000002</v>
      </c>
      <c r="E137" s="109">
        <f>+E108</f>
        <v>2215154221.8519993</v>
      </c>
      <c r="F137" s="14">
        <f t="shared" si="32"/>
        <v>0.8927550971541468</v>
      </c>
      <c r="G137" s="15">
        <f>+G110</f>
        <v>1487984.0707399996</v>
      </c>
      <c r="I137" s="110"/>
      <c r="K137" s="104"/>
      <c r="L137" s="104"/>
      <c r="M137" s="104"/>
      <c r="O137" s="97"/>
      <c r="P137" s="97"/>
      <c r="Q137" s="97"/>
      <c r="R137" s="97"/>
      <c r="S137" s="97"/>
      <c r="T137" s="97"/>
    </row>
    <row r="138" spans="1:20" s="94" customFormat="1" x14ac:dyDescent="0.2">
      <c r="A138" s="107" t="s">
        <v>29</v>
      </c>
      <c r="B138" s="108" t="s">
        <v>168</v>
      </c>
      <c r="C138" s="109">
        <f>+C125</f>
        <v>6223303220.000001</v>
      </c>
      <c r="D138" s="109">
        <f t="shared" ref="D138:E138" si="33">+D125</f>
        <v>5616089307.8225002</v>
      </c>
      <c r="E138" s="109">
        <f t="shared" si="33"/>
        <v>5746613663.9735012</v>
      </c>
      <c r="F138" s="14">
        <f t="shared" si="32"/>
        <v>0.90242900101250401</v>
      </c>
      <c r="G138" s="15">
        <f>+G125</f>
        <v>4975163.2860600008</v>
      </c>
      <c r="I138" s="110"/>
      <c r="K138" s="104"/>
      <c r="L138" s="104"/>
      <c r="M138" s="104"/>
      <c r="O138" s="97"/>
      <c r="P138" s="97"/>
      <c r="Q138" s="97"/>
      <c r="R138" s="97"/>
      <c r="S138" s="97"/>
      <c r="T138" s="97"/>
    </row>
    <row r="139" spans="1:20" s="94" customFormat="1" x14ac:dyDescent="0.2">
      <c r="A139" s="10"/>
      <c r="B139" s="10"/>
      <c r="C139" s="10"/>
      <c r="D139" s="10"/>
      <c r="E139" s="10"/>
      <c r="F139" s="10"/>
      <c r="G139" s="10"/>
      <c r="I139" s="6"/>
      <c r="K139" s="104"/>
      <c r="L139" s="104"/>
      <c r="M139" s="104"/>
      <c r="O139" s="97"/>
      <c r="P139" s="97"/>
      <c r="Q139" s="97"/>
      <c r="R139" s="97"/>
      <c r="S139" s="97"/>
      <c r="T139" s="97"/>
    </row>
    <row r="140" spans="1:20" x14ac:dyDescent="0.2">
      <c r="A140" s="111" t="s">
        <v>169</v>
      </c>
      <c r="B140" s="111"/>
      <c r="C140" s="109">
        <f>SUM(C131:C139)</f>
        <v>39021865477.523628</v>
      </c>
      <c r="D140" s="109">
        <f>SUM(D131:D139)</f>
        <v>33841884308.299202</v>
      </c>
      <c r="E140" s="109">
        <f>SUM(E131:E139)</f>
        <v>34375475202.592003</v>
      </c>
      <c r="F140" s="14">
        <f t="shared" si="32"/>
        <v>0.86725439427779105</v>
      </c>
      <c r="G140" s="15">
        <f>SUM(G131:G138)</f>
        <v>26015053.289252028</v>
      </c>
      <c r="H140" s="94"/>
      <c r="I140" s="110"/>
    </row>
    <row r="141" spans="1:20" x14ac:dyDescent="0.2">
      <c r="G141" s="112">
        <f>+G140/D140</f>
        <v>7.687235454224467E-4</v>
      </c>
      <c r="H141" s="94"/>
    </row>
    <row r="142" spans="1:20" x14ac:dyDescent="0.2">
      <c r="C142" s="113"/>
      <c r="D142" s="113"/>
      <c r="E142" s="113"/>
      <c r="H142" s="94"/>
    </row>
    <row r="143" spans="1:20" s="94" customFormat="1" x14ac:dyDescent="0.2">
      <c r="A143" s="5"/>
      <c r="B143" s="5"/>
      <c r="C143" s="7"/>
      <c r="D143" s="7"/>
      <c r="E143" s="7"/>
      <c r="F143" s="5"/>
      <c r="G143" s="5"/>
      <c r="I143" s="5"/>
      <c r="K143" s="104"/>
      <c r="L143" s="104"/>
      <c r="M143" s="104"/>
      <c r="O143" s="97"/>
      <c r="P143" s="97"/>
      <c r="Q143" s="97"/>
      <c r="R143" s="97"/>
      <c r="S143" s="97"/>
      <c r="T143" s="97"/>
    </row>
    <row r="144" spans="1:20" s="94" customFormat="1" x14ac:dyDescent="0.2">
      <c r="A144" s="114" t="s">
        <v>170</v>
      </c>
      <c r="B144" s="114"/>
      <c r="C144" s="114"/>
      <c r="D144" s="115"/>
      <c r="E144" s="115"/>
      <c r="F144" s="116"/>
      <c r="G144" s="5"/>
      <c r="I144" s="5"/>
      <c r="K144" s="104"/>
      <c r="L144" s="104"/>
      <c r="M144" s="104"/>
      <c r="O144" s="97"/>
      <c r="P144" s="97"/>
      <c r="Q144" s="97"/>
      <c r="R144" s="97"/>
      <c r="S144" s="97"/>
      <c r="T144" s="97"/>
    </row>
    <row r="145" spans="1:20" s="94" customFormat="1" x14ac:dyDescent="0.2">
      <c r="A145" s="114"/>
      <c r="B145" s="114"/>
      <c r="C145" s="114"/>
      <c r="D145" s="115"/>
      <c r="E145" s="115"/>
      <c r="F145" s="116"/>
      <c r="G145" s="5"/>
      <c r="I145" s="5"/>
      <c r="K145" s="104"/>
      <c r="L145" s="104"/>
      <c r="M145" s="104"/>
      <c r="O145" s="97"/>
      <c r="P145" s="97"/>
      <c r="Q145" s="97"/>
      <c r="R145" s="97"/>
      <c r="S145" s="97"/>
      <c r="T145" s="97"/>
    </row>
    <row r="146" spans="1:20" s="94" customFormat="1" x14ac:dyDescent="0.2">
      <c r="A146" s="117" t="s">
        <v>171</v>
      </c>
      <c r="B146" s="118" t="s">
        <v>172</v>
      </c>
      <c r="C146" s="118"/>
      <c r="D146" s="118"/>
      <c r="E146" s="119" t="s">
        <v>173</v>
      </c>
      <c r="F146" s="5"/>
      <c r="G146" s="5"/>
      <c r="I146" s="5"/>
      <c r="K146" s="104"/>
      <c r="L146" s="104"/>
      <c r="M146" s="104"/>
      <c r="O146" s="97"/>
      <c r="P146" s="97"/>
      <c r="Q146" s="97"/>
      <c r="R146" s="97"/>
      <c r="S146" s="97"/>
      <c r="T146" s="97"/>
    </row>
    <row r="147" spans="1:20" s="94" customFormat="1" x14ac:dyDescent="0.2">
      <c r="A147" s="119"/>
      <c r="B147" s="114"/>
      <c r="C147" s="5"/>
      <c r="D147" s="5"/>
      <c r="E147" s="114"/>
      <c r="F147" s="5"/>
      <c r="G147" s="120"/>
      <c r="I147" s="5"/>
      <c r="K147" s="104"/>
      <c r="L147" s="104"/>
      <c r="M147" s="104"/>
      <c r="O147" s="97"/>
      <c r="P147" s="97"/>
      <c r="Q147" s="97"/>
      <c r="R147" s="97"/>
      <c r="S147" s="97"/>
      <c r="T147" s="97"/>
    </row>
    <row r="148" spans="1:20" s="94" customFormat="1" x14ac:dyDescent="0.2">
      <c r="A148" s="119"/>
      <c r="B148" s="114"/>
      <c r="C148" s="5"/>
      <c r="D148" s="5"/>
      <c r="E148" s="114"/>
      <c r="F148" s="5"/>
      <c r="G148" s="5"/>
      <c r="I148" s="5"/>
      <c r="K148" s="104"/>
      <c r="L148" s="104"/>
      <c r="M148" s="104"/>
      <c r="O148" s="97"/>
      <c r="P148" s="97"/>
      <c r="Q148" s="97"/>
      <c r="R148" s="97"/>
      <c r="S148" s="97"/>
      <c r="T148" s="97"/>
    </row>
    <row r="149" spans="1:20" s="94" customFormat="1" x14ac:dyDescent="0.2">
      <c r="A149" s="119"/>
      <c r="B149" s="114"/>
      <c r="C149" s="5"/>
      <c r="D149" s="5"/>
      <c r="E149" s="114"/>
      <c r="F149" s="5"/>
      <c r="G149" s="5"/>
      <c r="I149" s="5"/>
      <c r="K149" s="104"/>
      <c r="L149" s="104"/>
      <c r="M149" s="104"/>
      <c r="O149" s="97"/>
      <c r="P149" s="97"/>
      <c r="Q149" s="97"/>
      <c r="R149" s="97"/>
      <c r="S149" s="97"/>
      <c r="T149" s="97"/>
    </row>
    <row r="150" spans="1:20" s="94" customFormat="1" x14ac:dyDescent="0.2">
      <c r="A150" s="119"/>
      <c r="B150" s="114"/>
      <c r="C150" s="5"/>
      <c r="D150" s="5"/>
      <c r="E150" s="114"/>
      <c r="F150" s="5"/>
      <c r="G150" s="5"/>
      <c r="I150" s="5"/>
      <c r="K150" s="104"/>
      <c r="L150" s="104"/>
      <c r="M150" s="104"/>
      <c r="O150" s="97"/>
      <c r="P150" s="97"/>
      <c r="Q150" s="97"/>
      <c r="R150" s="97"/>
      <c r="S150" s="97"/>
      <c r="T150" s="97"/>
    </row>
    <row r="151" spans="1:20" s="94" customFormat="1" x14ac:dyDescent="0.2">
      <c r="A151" s="119"/>
      <c r="B151" s="114"/>
      <c r="C151" s="5"/>
      <c r="D151" s="5"/>
      <c r="E151" s="114"/>
      <c r="F151" s="5"/>
      <c r="G151" s="5"/>
      <c r="I151" s="5"/>
      <c r="K151" s="104"/>
      <c r="L151" s="104"/>
      <c r="M151" s="104"/>
      <c r="O151" s="97"/>
      <c r="P151" s="97"/>
      <c r="Q151" s="97"/>
      <c r="R151" s="97"/>
      <c r="S151" s="97"/>
      <c r="T151" s="97"/>
    </row>
    <row r="152" spans="1:20" x14ac:dyDescent="0.2">
      <c r="A152" s="121" t="s">
        <v>174</v>
      </c>
      <c r="B152" s="119" t="s">
        <v>175</v>
      </c>
      <c r="C152" s="119" t="s">
        <v>176</v>
      </c>
      <c r="D152" s="119"/>
      <c r="E152" s="122" t="s">
        <v>177</v>
      </c>
    </row>
    <row r="155" spans="1:20" x14ac:dyDescent="0.2">
      <c r="A155" s="123" t="s">
        <v>178</v>
      </c>
    </row>
    <row r="156" spans="1:20" ht="13.5" thickBot="1" x14ac:dyDescent="0.25">
      <c r="A156" s="124"/>
      <c r="B156" s="124"/>
      <c r="C156" s="124"/>
      <c r="D156" s="124"/>
      <c r="E156" s="124"/>
      <c r="F156" s="124"/>
      <c r="G156" s="124"/>
      <c r="H156" s="124"/>
    </row>
    <row r="157" spans="1:20" x14ac:dyDescent="0.2">
      <c r="A157" s="124"/>
      <c r="B157" s="125" t="s">
        <v>179</v>
      </c>
      <c r="C157" s="126"/>
      <c r="D157" s="126"/>
      <c r="E157" s="127"/>
      <c r="F157" s="127"/>
      <c r="G157" s="127"/>
      <c r="H157" s="128"/>
    </row>
    <row r="158" spans="1:20" x14ac:dyDescent="0.2">
      <c r="A158" s="124"/>
      <c r="B158" s="129" t="s">
        <v>180</v>
      </c>
      <c r="C158" s="130"/>
      <c r="D158" s="131"/>
      <c r="E158" s="131"/>
      <c r="F158" s="131"/>
      <c r="G158" s="131"/>
      <c r="H158" s="132"/>
    </row>
    <row r="159" spans="1:20" x14ac:dyDescent="0.2">
      <c r="A159" s="124"/>
      <c r="B159" s="133" t="s">
        <v>181</v>
      </c>
      <c r="C159" s="130"/>
      <c r="D159" s="131"/>
      <c r="E159" s="131"/>
      <c r="F159" s="131"/>
      <c r="G159" s="131"/>
      <c r="H159" s="132"/>
    </row>
    <row r="160" spans="1:20" x14ac:dyDescent="0.2">
      <c r="A160" s="124"/>
      <c r="B160" s="134" t="s">
        <v>182</v>
      </c>
      <c r="C160" s="92" t="s">
        <v>183</v>
      </c>
      <c r="D160" s="135" t="s">
        <v>184</v>
      </c>
      <c r="E160" s="136"/>
      <c r="F160" s="136"/>
      <c r="G160" s="131"/>
      <c r="H160" s="132"/>
    </row>
    <row r="161" spans="1:8" s="5" customFormat="1" x14ac:dyDescent="0.2">
      <c r="A161" s="124"/>
      <c r="B161" s="137" t="s">
        <v>185</v>
      </c>
      <c r="C161" s="138">
        <v>5.0000000000000001E-4</v>
      </c>
      <c r="D161" s="139">
        <v>700000</v>
      </c>
      <c r="E161" s="140"/>
      <c r="F161" s="141"/>
      <c r="G161" s="136"/>
      <c r="H161" s="142"/>
    </row>
    <row r="162" spans="1:8" s="5" customFormat="1" x14ac:dyDescent="0.2">
      <c r="A162" s="124"/>
      <c r="B162" s="137" t="s">
        <v>186</v>
      </c>
      <c r="C162" s="138">
        <v>1E-3</v>
      </c>
      <c r="D162" s="139"/>
      <c r="E162" s="143"/>
      <c r="F162" s="141"/>
      <c r="G162" s="136"/>
      <c r="H162" s="142"/>
    </row>
    <row r="163" spans="1:8" s="5" customFormat="1" x14ac:dyDescent="0.2">
      <c r="A163" s="124"/>
      <c r="B163" s="144" t="s">
        <v>187</v>
      </c>
      <c r="C163" s="145">
        <v>1.5E-3</v>
      </c>
      <c r="D163" s="139"/>
      <c r="E163" s="143"/>
      <c r="F163" s="141"/>
      <c r="G163" s="136"/>
      <c r="H163" s="142"/>
    </row>
    <row r="164" spans="1:8" s="5" customFormat="1" x14ac:dyDescent="0.2">
      <c r="A164" s="124"/>
      <c r="B164" s="146"/>
      <c r="C164" s="147"/>
      <c r="D164" s="147"/>
      <c r="E164" s="147"/>
      <c r="F164" s="147"/>
      <c r="G164" s="147"/>
      <c r="H164" s="148"/>
    </row>
    <row r="165" spans="1:8" s="5" customFormat="1" x14ac:dyDescent="0.2">
      <c r="A165" s="124"/>
      <c r="B165" s="133" t="s">
        <v>188</v>
      </c>
      <c r="C165" s="147"/>
      <c r="D165" s="147"/>
      <c r="E165" s="147"/>
      <c r="F165" s="147"/>
      <c r="G165" s="147"/>
      <c r="H165" s="148"/>
    </row>
    <row r="166" spans="1:8" s="5" customFormat="1" x14ac:dyDescent="0.2">
      <c r="A166" s="124"/>
      <c r="B166" s="134" t="s">
        <v>182</v>
      </c>
      <c r="C166" s="92" t="s">
        <v>189</v>
      </c>
      <c r="D166" s="147"/>
      <c r="E166" s="147"/>
      <c r="F166" s="147"/>
      <c r="G166" s="147"/>
      <c r="H166" s="148"/>
    </row>
    <row r="167" spans="1:8" s="5" customFormat="1" x14ac:dyDescent="0.2">
      <c r="A167" s="124"/>
      <c r="B167" s="137" t="s">
        <v>185</v>
      </c>
      <c r="C167" s="149">
        <v>400000</v>
      </c>
      <c r="D167" s="147"/>
      <c r="E167" s="147"/>
      <c r="F167" s="147"/>
      <c r="G167" s="147"/>
      <c r="H167" s="148"/>
    </row>
    <row r="168" spans="1:8" s="5" customFormat="1" x14ac:dyDescent="0.2">
      <c r="A168" s="124"/>
      <c r="B168" s="137" t="s">
        <v>186</v>
      </c>
      <c r="C168" s="149">
        <v>500000</v>
      </c>
      <c r="D168" s="147"/>
      <c r="E168" s="147"/>
      <c r="F168" s="147"/>
      <c r="G168" s="147"/>
      <c r="H168" s="148"/>
    </row>
    <row r="169" spans="1:8" s="5" customFormat="1" x14ac:dyDescent="0.2">
      <c r="A169" s="124"/>
      <c r="B169" s="144" t="s">
        <v>187</v>
      </c>
      <c r="C169" s="150">
        <v>700000</v>
      </c>
      <c r="D169" s="147"/>
      <c r="E169" s="147"/>
      <c r="F169" s="147"/>
      <c r="G169" s="147"/>
      <c r="H169" s="148"/>
    </row>
    <row r="170" spans="1:8" s="5" customFormat="1" x14ac:dyDescent="0.2">
      <c r="A170" s="124"/>
      <c r="B170" s="146"/>
      <c r="C170" s="151"/>
      <c r="D170" s="147"/>
      <c r="E170" s="147"/>
      <c r="F170" s="147"/>
      <c r="G170" s="147"/>
      <c r="H170" s="148"/>
    </row>
    <row r="171" spans="1:8" s="5" customFormat="1" ht="15.75" thickBot="1" x14ac:dyDescent="0.3">
      <c r="A171" s="124"/>
      <c r="B171" s="152" t="s">
        <v>190</v>
      </c>
      <c r="C171" s="153"/>
      <c r="D171" s="154"/>
      <c r="E171" s="154"/>
      <c r="F171" s="154"/>
      <c r="G171" s="154"/>
      <c r="H171" s="155"/>
    </row>
    <row r="183" spans="9:9" s="5" customFormat="1" x14ac:dyDescent="0.2">
      <c r="I183" s="156"/>
    </row>
  </sheetData>
  <mergeCells count="14">
    <mergeCell ref="D161:D163"/>
    <mergeCell ref="F161:F163"/>
    <mergeCell ref="A62:B62"/>
    <mergeCell ref="A85:B85"/>
    <mergeCell ref="A101:B101"/>
    <mergeCell ref="A110:B110"/>
    <mergeCell ref="A125:B125"/>
    <mergeCell ref="B146:D146"/>
    <mergeCell ref="L2:N2"/>
    <mergeCell ref="O2:Q2"/>
    <mergeCell ref="R2:T2"/>
    <mergeCell ref="A26:B26"/>
    <mergeCell ref="A42:B42"/>
    <mergeCell ref="A52:B5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2018-09-01T04:31:10Z</dcterms:created>
  <dcterms:modified xsi:type="dcterms:W3CDTF">2018-09-01T04:44:57Z</dcterms:modified>
</cp:coreProperties>
</file>