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defaultThemeVersion="153222"/>
  <bookViews>
    <workbookView xWindow="360" yWindow="30" windowWidth="25755" windowHeight="11595" activeTab="3"/>
  </bookViews>
  <sheets>
    <sheet name="JAN-MAR" sheetId="1" r:id="rId1"/>
    <sheet name="APR-JUN" sheetId="2" r:id="rId2"/>
    <sheet name="JULI s.dSEP" sheetId="3" r:id="rId3"/>
    <sheet name="OKT-DES" sheetId="4" r:id="rId4"/>
  </sheets>
</workbook>
</file>

<file path=xl/sharedStrings.xml><?xml version="1.0" encoding="utf-8"?>
<sst xmlns="http://schemas.openxmlformats.org/spreadsheetml/2006/main" uniqueCount="34" count="34">
  <si>
    <t>PRODUK</t>
  </si>
  <si>
    <t>NAMA STORE</t>
  </si>
  <si>
    <t>ACHIEVEMENT</t>
  </si>
  <si>
    <t>%</t>
  </si>
  <si>
    <t>TARGET AGUSTUS</t>
  </si>
  <si>
    <t>TARGET SEPTEMBER</t>
  </si>
  <si>
    <t>PT. AKUR PRATAMA</t>
  </si>
  <si>
    <t>PT. ASIA TRITUNGGAGAL JAYA</t>
  </si>
  <si>
    <t>( YOGYA MITRA BATIK )</t>
  </si>
  <si>
    <t>( YOGYA HZ MUSTOFA )</t>
  </si>
  <si>
    <t>( ASIA CIHIDEUNG )</t>
  </si>
  <si>
    <t>( ASIA PLAZA )</t>
  </si>
  <si>
    <t>TARGET JULI</t>
  </si>
  <si>
    <t>average</t>
  </si>
  <si>
    <t>Quantity karton</t>
  </si>
  <si>
    <t xml:space="preserve"> CC 1 / 10 / 200 ML</t>
  </si>
  <si>
    <t xml:space="preserve"> CC 1 / 12 / 1000 ML</t>
  </si>
  <si>
    <t xml:space="preserve"> CC SUN 1 / 12 / 200 ML</t>
  </si>
  <si>
    <t xml:space="preserve"> CC SUN 1 / 12 / 1000 ML</t>
  </si>
  <si>
    <t xml:space="preserve"> CC SUN 1 / 36 / TCA 65 ML</t>
  </si>
  <si>
    <t xml:space="preserve"> TOTAL CC ( RUPIAH )</t>
  </si>
  <si>
    <t xml:space="preserve"> Nata de coco 1/24/220 ML</t>
  </si>
  <si>
    <t xml:space="preserve"> Nata de coco 1/12/360 GR</t>
  </si>
  <si>
    <t xml:space="preserve"> Nata 1/6/1 KG</t>
  </si>
  <si>
    <t xml:space="preserve"> Nata 1/6/1 KG Slices</t>
  </si>
  <si>
    <t xml:space="preserve"> Nata 1/6/1 KG Ember</t>
  </si>
  <si>
    <t>Nata de coco 1/24/130 Gr</t>
  </si>
  <si>
    <t>TOTAL NATA ( RUPIAH )</t>
  </si>
  <si>
    <t>POWDER  20 GR</t>
  </si>
  <si>
    <t>TOTAL  CMP ( RUPIAH )</t>
  </si>
  <si>
    <t>TOTAL RUPIAH</t>
  </si>
  <si>
    <t>`</t>
  </si>
  <si>
    <t>.</t>
  </si>
  <si>
    <t xml:space="preserve"> CC SUN 65 ML CUBE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</si>
</sst>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17" formatCode="mmm-yy"/>
    <numFmt numFmtId="13" formatCode="#\ ??/??"/>
    <numFmt numFmtId="12" formatCode="#\ ?/?"/>
    <numFmt numFmtId="9" formatCode="0%"/>
    <numFmt numFmtId="43" formatCode="_(* #,##0.00_);_(* !(#,##0.00!);_(* &quot;-&quot;??_);_(@_)"/>
  </numFmts>
  <fonts count="6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1"/>
      <color rgb="FF000000"/>
    </font>
    <font>
      <name val="Comic Sans MS"/>
      <sz val="9"/>
      <color rgb="FF000000"/>
    </font>
    <font>
      <name val="Arial"/>
      <sz val="10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CE5F1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96B3D7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4">
    <xf numFmtId="0" fontId="0" fillId="0" borderId="0">
      <alignment vertical="center"/>
    </xf>
    <xf numFmtId="164" fontId="1" fillId="0" borderId="0">
      <alignment vertical="top"/>
      <protection locked="0" hidden="0"/>
    </xf>
    <xf numFmtId="0" fontId="5" fillId="0" borderId="40">
      <alignment vertical="bottom"/>
      <protection locked="0" hidden="0"/>
    </xf>
    <xf numFmtId="9" fontId="1" fillId="0" borderId="0">
      <alignment vertical="top"/>
      <protection locked="0" hidden="0"/>
    </xf>
  </cellStyleXfs>
  <cellXfs count="97">
    <xf numFmtId="0" fontId="0" fillId="0" borderId="0" xfId="0">
      <alignment vertical="center"/>
    </xf>
    <xf numFmtId="0" fontId="1" fillId="0" borderId="0" xfId="0">
      <alignment vertical="center"/>
    </xf>
    <xf numFmtId="0" fontId="1" fillId="0" borderId="0" xfId="0" applyAlignment="1">
      <alignment vertical="bottom"/>
    </xf>
    <xf numFmtId="164" fontId="1" fillId="0" borderId="0" xfId="1">
      <alignment vertical="center"/>
    </xf>
    <xf numFmtId="164" fontId="1" fillId="0" borderId="0" xfId="1" applyAlignment="1">
      <alignment vertical="bottom"/>
    </xf>
    <xf numFmtId="0" fontId="2" fillId="0" borderId="0" xfId="0" applyAlignment="1">
      <alignment vertical="bottom"/>
    </xf>
    <xf numFmtId="0" fontId="2" fillId="0" borderId="1" xfId="0" applyBorder="1" applyAlignment="1">
      <alignment horizontal="center" vertical="center"/>
    </xf>
    <xf numFmtId="0" fontId="2" fillId="0" borderId="2" xfId="0" applyBorder="1" applyAlignment="1">
      <alignment horizontal="center" vertical="bottom"/>
    </xf>
    <xf numFmtId="0" fontId="2" fillId="0" borderId="3" xfId="0" applyBorder="1" applyAlignment="1">
      <alignment horizontal="center" vertical="bottom"/>
    </xf>
    <xf numFmtId="0" fontId="2" fillId="0" borderId="4" xfId="0" applyBorder="1" applyAlignment="1">
      <alignment horizontal="center" vertical="bottom"/>
    </xf>
    <xf numFmtId="0" fontId="2" fillId="0" borderId="5" xfId="0" applyBorder="1" applyAlignment="1">
      <alignment horizontal="center" vertical="center"/>
    </xf>
    <xf numFmtId="0" fontId="2" fillId="0" borderId="6" xfId="0" applyBorder="1" applyAlignment="1">
      <alignment horizontal="center" vertical="bottom"/>
    </xf>
    <xf numFmtId="0" fontId="2" fillId="0" borderId="7" xfId="0" applyBorder="1" applyAlignment="1">
      <alignment horizontal="center" vertical="bottom"/>
    </xf>
    <xf numFmtId="0" fontId="2" fillId="0" borderId="8" xfId="0" applyBorder="1" applyAlignment="1">
      <alignment horizontal="center" vertical="bottom"/>
    </xf>
    <xf numFmtId="0" fontId="2" fillId="0" borderId="9" xfId="0" applyBorder="1" applyAlignment="1">
      <alignment horizontal="center" vertical="bottom"/>
    </xf>
    <xf numFmtId="0" fontId="2" fillId="0" borderId="10" xfId="0" applyBorder="1" applyAlignment="1">
      <alignment horizontal="center" vertical="bottom"/>
    </xf>
    <xf numFmtId="0" fontId="2" fillId="0" borderId="11" xfId="0" applyBorder="1" applyAlignment="1">
      <alignment horizontal="center" vertical="bottom"/>
    </xf>
    <xf numFmtId="17" fontId="2" fillId="0" borderId="12" xfId="0" applyNumberFormat="1" applyBorder="1" applyAlignment="1">
      <alignment horizontal="center" vertical="bottom"/>
    </xf>
    <xf numFmtId="0" fontId="3" fillId="2" borderId="1" xfId="0" applyFill="1" applyBorder="1" applyAlignment="1">
      <alignment horizontal="center" vertical="center"/>
    </xf>
    <xf numFmtId="0" fontId="1" fillId="0" borderId="2" xfId="0" applyBorder="1" applyAlignment="1">
      <alignment horizontal="center" vertical="bottom"/>
    </xf>
    <xf numFmtId="0" fontId="1" fillId="0" borderId="3" xfId="0" applyBorder="1" applyAlignment="1">
      <alignment horizontal="center" vertical="bottom"/>
    </xf>
    <xf numFmtId="0" fontId="1" fillId="0" borderId="4" xfId="0" applyBorder="1" applyAlignment="1">
      <alignment horizontal="center" vertical="bottom"/>
    </xf>
    <xf numFmtId="0" fontId="3" fillId="2" borderId="13" xfId="0" applyFill="1" applyBorder="1" applyAlignment="1">
      <alignment horizontal="center" vertical="center"/>
    </xf>
    <xf numFmtId="0" fontId="3" fillId="2" borderId="5" xfId="0" applyFill="1" applyBorder="1" applyAlignment="1">
      <alignment horizontal="center" vertical="center"/>
    </xf>
    <xf numFmtId="0" fontId="1" fillId="0" borderId="14" xfId="0" applyBorder="1" applyAlignment="1">
      <alignment vertical="bottom"/>
    </xf>
    <xf numFmtId="164" fontId="1" fillId="0" borderId="15" xfId="1" applyBorder="1" applyAlignment="1">
      <alignment vertical="bottom"/>
    </xf>
    <xf numFmtId="0" fontId="1" fillId="0" borderId="16" xfId="0" applyNumberFormat="1" applyBorder="1" applyAlignment="1">
      <alignment vertical="bottom"/>
    </xf>
    <xf numFmtId="13" fontId="1" fillId="0" borderId="15" xfId="1" applyNumberFormat="1" applyBorder="1" applyAlignment="1">
      <alignment horizontal="left" vertical="bottom" indent="2"/>
    </xf>
    <xf numFmtId="164" fontId="1" fillId="2" borderId="17" xfId="1" applyFill="1" applyBorder="1" applyAlignment="1">
      <alignment vertical="bottom"/>
    </xf>
    <xf numFmtId="164" fontId="1" fillId="0" borderId="15" xfId="1" applyBorder="1" applyAlignment="1">
      <alignment vertical="bottom"/>
    </xf>
    <xf numFmtId="164" fontId="1" fillId="0" borderId="15" xfId="1" applyBorder="1" applyAlignment="1">
      <alignment horizontal="center" vertical="bottom"/>
    </xf>
    <xf numFmtId="164" fontId="1" fillId="2" borderId="17" xfId="1" applyFill="1" applyBorder="1" applyAlignment="1">
      <alignment horizontal="center" vertical="bottom"/>
    </xf>
    <xf numFmtId="164" fontId="1" fillId="2" borderId="18" xfId="0" applyNumberFormat="1" applyFill="1" applyBorder="1">
      <alignment vertical="center"/>
    </xf>
    <xf numFmtId="0" fontId="1" fillId="0" borderId="19" xfId="0" applyBorder="1" applyAlignment="1">
      <alignment vertical="bottom"/>
    </xf>
    <xf numFmtId="13" fontId="1" fillId="0" borderId="18" xfId="1" applyNumberFormat="1" applyBorder="1" applyAlignment="1">
      <alignment vertical="bottom"/>
    </xf>
    <xf numFmtId="164" fontId="1" fillId="0" borderId="18" xfId="1" applyBorder="1" applyAlignment="1">
      <alignment horizontal="right" vertical="bottom"/>
    </xf>
    <xf numFmtId="13" fontId="1" fillId="0" borderId="18" xfId="1" applyNumberFormat="1" applyBorder="1" applyAlignment="1">
      <alignment horizontal="left" vertical="bottom" indent="2"/>
    </xf>
    <xf numFmtId="164" fontId="1" fillId="2" borderId="18" xfId="1" applyFill="1" applyBorder="1" applyAlignment="1">
      <alignment vertical="bottom"/>
    </xf>
    <xf numFmtId="164" fontId="1" fillId="0" borderId="18" xfId="1" applyBorder="1" applyAlignment="1">
      <alignment vertical="bottom"/>
    </xf>
    <xf numFmtId="164" fontId="1" fillId="0" borderId="18" xfId="1" applyBorder="1" applyAlignment="1">
      <alignment horizontal="center" vertical="bottom"/>
    </xf>
    <xf numFmtId="164" fontId="1" fillId="2" borderId="18" xfId="1" applyFill="1" applyBorder="1" applyAlignment="1">
      <alignment horizontal="center" vertical="bottom"/>
    </xf>
    <xf numFmtId="164" fontId="1" fillId="0" borderId="18" xfId="1" applyBorder="1" applyAlignment="1">
      <alignment vertical="bottom"/>
    </xf>
    <xf numFmtId="13" fontId="1" fillId="0" borderId="18" xfId="1" applyNumberFormat="1" applyBorder="1" applyAlignment="1">
      <alignment horizontal="right" vertical="bottom"/>
    </xf>
    <xf numFmtId="13" fontId="1" fillId="0" borderId="18" xfId="1" applyNumberFormat="1" applyBorder="1" applyAlignment="1">
      <alignment vertical="bottom"/>
    </xf>
    <xf numFmtId="0" fontId="3" fillId="3" borderId="19" xfId="0" applyFill="1" applyBorder="1" applyAlignment="1">
      <alignment vertical="bottom"/>
    </xf>
    <xf numFmtId="164" fontId="2" fillId="0" borderId="18" xfId="1" applyBorder="1" applyAlignment="1">
      <alignment vertical="bottom"/>
    </xf>
    <xf numFmtId="164" fontId="2" fillId="0" borderId="18" xfId="1" applyBorder="1" applyAlignment="1">
      <alignment horizontal="right" vertical="bottom"/>
    </xf>
    <xf numFmtId="164" fontId="2" fillId="4" borderId="20" xfId="1" applyFill="1" applyBorder="1" applyAlignment="1">
      <alignment horizontal="center" vertical="center" wrapText="1"/>
    </xf>
    <xf numFmtId="164" fontId="2" fillId="0" borderId="18" xfId="1" applyBorder="1" applyAlignment="1">
      <alignment horizontal="center" vertical="bottom"/>
    </xf>
    <xf numFmtId="0" fontId="1" fillId="3" borderId="19" xfId="0" applyFill="1" applyBorder="1" applyAlignment="1">
      <alignment vertical="bottom"/>
    </xf>
    <xf numFmtId="12" fontId="1" fillId="0" borderId="18" xfId="1" applyNumberFormat="1" applyBorder="1" applyAlignment="1">
      <alignment vertical="bottom"/>
    </xf>
    <xf numFmtId="12" fontId="1" fillId="0" borderId="18" xfId="1" applyNumberFormat="1" applyBorder="1" applyAlignment="1">
      <alignment horizontal="right" vertical="bottom"/>
    </xf>
    <xf numFmtId="12" fontId="1" fillId="0" borderId="18" xfId="1" applyNumberFormat="1" applyBorder="1" applyAlignment="1">
      <alignment vertical="bottom"/>
    </xf>
    <xf numFmtId="0" fontId="4" fillId="0" borderId="19" xfId="2" applyFill="1" applyBorder="1">
      <alignment vertical="center"/>
    </xf>
    <xf numFmtId="164" fontId="2" fillId="4" borderId="21" xfId="1" applyFill="1" applyBorder="1" applyAlignment="1">
      <alignment horizontal="right" vertical="bottom" wrapText="1"/>
    </xf>
    <xf numFmtId="0" fontId="3" fillId="3" borderId="22" xfId="0" applyFill="1" applyBorder="1" applyAlignment="1">
      <alignment vertical="bottom"/>
    </xf>
    <xf numFmtId="164" fontId="2" fillId="0" borderId="23" xfId="1" applyBorder="1" applyAlignment="1">
      <alignment vertical="bottom"/>
    </xf>
    <xf numFmtId="164" fontId="2" fillId="0" borderId="23" xfId="1" applyBorder="1" applyAlignment="1">
      <alignment horizontal="right" vertical="bottom"/>
    </xf>
    <xf numFmtId="164" fontId="1" fillId="2" borderId="23" xfId="1" applyFill="1" applyBorder="1" applyAlignment="1">
      <alignment vertical="bottom"/>
    </xf>
    <xf numFmtId="164" fontId="1" fillId="2" borderId="23" xfId="1" applyFill="1" applyBorder="1" applyAlignment="1">
      <alignment horizontal="center" vertical="bottom"/>
    </xf>
    <xf numFmtId="164" fontId="1" fillId="0" borderId="0" xfId="0" applyNumberFormat="1">
      <alignment vertical="center"/>
    </xf>
    <xf numFmtId="0" fontId="2" fillId="3" borderId="8" xfId="0" applyFill="1" applyBorder="1" applyAlignment="1">
      <alignment horizontal="center" vertical="bottom"/>
    </xf>
    <xf numFmtId="0" fontId="3" fillId="0" borderId="1" xfId="0" applyBorder="1" applyAlignment="1">
      <alignment horizontal="center" vertical="center"/>
    </xf>
    <xf numFmtId="0" fontId="3" fillId="0" borderId="1" xfId="0" applyBorder="1" applyAlignment="1">
      <alignment horizontal="center" vertical="center" wrapText="1"/>
    </xf>
    <xf numFmtId="0" fontId="2" fillId="3" borderId="24" xfId="0" applyFill="1" applyBorder="1" applyAlignment="1">
      <alignment horizontal="center" vertical="bottom"/>
    </xf>
    <xf numFmtId="0" fontId="3" fillId="0" borderId="5" xfId="0" applyBorder="1" applyAlignment="1">
      <alignment horizontal="center" vertical="center"/>
    </xf>
    <xf numFmtId="0" fontId="3" fillId="0" borderId="5" xfId="0" applyBorder="1" applyAlignment="1">
      <alignment horizontal="center" vertical="center" wrapText="1"/>
    </xf>
    <xf numFmtId="0" fontId="3" fillId="3" borderId="5" xfId="0" applyFill="1" applyBorder="1" applyAlignment="1">
      <alignment horizontal="center" vertical="center"/>
    </xf>
    <xf numFmtId="0" fontId="3" fillId="0" borderId="13" xfId="0" applyBorder="1" applyAlignment="1">
      <alignment horizontal="center" vertical="center"/>
    </xf>
    <xf numFmtId="0" fontId="3" fillId="0" borderId="13" xfId="0" applyBorder="1" applyAlignment="1">
      <alignment horizontal="center" vertical="center" wrapText="1"/>
    </xf>
    <xf numFmtId="164" fontId="1" fillId="2" borderId="25" xfId="0" applyNumberFormat="1" applyFill="1" applyBorder="1">
      <alignment vertical="center"/>
    </xf>
    <xf numFmtId="164" fontId="3" fillId="3" borderId="26" xfId="0" applyNumberFormat="1" applyFill="1" applyBorder="1">
      <alignment vertical="center"/>
    </xf>
    <xf numFmtId="164" fontId="3" fillId="0" borderId="27" xfId="0" applyNumberFormat="1" applyBorder="1">
      <alignment vertical="center"/>
    </xf>
    <xf numFmtId="9" fontId="3" fillId="0" borderId="26" xfId="3" applyBorder="1">
      <alignment vertical="center"/>
    </xf>
    <xf numFmtId="164" fontId="3" fillId="0" borderId="28" xfId="1" applyBorder="1">
      <alignment vertical="center"/>
    </xf>
    <xf numFmtId="164" fontId="3" fillId="0" borderId="28" xfId="0" applyNumberFormat="1" applyBorder="1">
      <alignment vertical="center"/>
    </xf>
    <xf numFmtId="164" fontId="3" fillId="0" borderId="26" xfId="0" applyNumberFormat="1" applyBorder="1">
      <alignment vertical="center"/>
    </xf>
    <xf numFmtId="164" fontId="3" fillId="0" borderId="29" xfId="0" applyNumberFormat="1" applyBorder="1">
      <alignment vertical="center"/>
    </xf>
    <xf numFmtId="164" fontId="1" fillId="2" borderId="30" xfId="0" applyNumberFormat="1" applyFill="1" applyBorder="1">
      <alignment vertical="center"/>
    </xf>
    <xf numFmtId="164" fontId="3" fillId="3" borderId="31" xfId="0" applyNumberFormat="1" applyFill="1" applyBorder="1">
      <alignment vertical="center"/>
    </xf>
    <xf numFmtId="164" fontId="3" fillId="0" borderId="32" xfId="0" applyNumberFormat="1" applyBorder="1">
      <alignment vertical="center"/>
    </xf>
    <xf numFmtId="9" fontId="3" fillId="0" borderId="31" xfId="3" applyBorder="1">
      <alignment vertical="center"/>
    </xf>
    <xf numFmtId="164" fontId="3" fillId="0" borderId="33" xfId="1" applyBorder="1">
      <alignment vertical="center"/>
    </xf>
    <xf numFmtId="164" fontId="3" fillId="0" borderId="33" xfId="0" applyNumberFormat="1" applyBorder="1">
      <alignment vertical="center"/>
    </xf>
    <xf numFmtId="164" fontId="3" fillId="0" borderId="31" xfId="0" applyNumberFormat="1" applyBorder="1">
      <alignment vertical="center"/>
    </xf>
    <xf numFmtId="164" fontId="3" fillId="0" borderId="34" xfId="0" applyNumberFormat="1" applyBorder="1">
      <alignment vertical="center"/>
    </xf>
    <xf numFmtId="164" fontId="1" fillId="2" borderId="35" xfId="0" applyNumberFormat="1" applyFill="1" applyBorder="1">
      <alignment vertical="center"/>
    </xf>
    <xf numFmtId="164" fontId="3" fillId="2" borderId="36" xfId="0" applyNumberFormat="1" applyFill="1" applyBorder="1">
      <alignment vertical="center"/>
    </xf>
    <xf numFmtId="164" fontId="3" fillId="2" borderId="37" xfId="0" applyNumberFormat="1" applyFill="1" applyBorder="1">
      <alignment vertical="center"/>
    </xf>
    <xf numFmtId="9" fontId="3" fillId="2" borderId="36" xfId="3" applyFill="1" applyBorder="1">
      <alignment vertical="center"/>
    </xf>
    <xf numFmtId="164" fontId="3" fillId="2" borderId="38" xfId="1" applyFill="1" applyBorder="1">
      <alignment vertical="center"/>
    </xf>
    <xf numFmtId="164" fontId="3" fillId="2" borderId="38" xfId="0" applyNumberFormat="1" applyFill="1" applyBorder="1">
      <alignment vertical="center"/>
    </xf>
    <xf numFmtId="164" fontId="3" fillId="2" borderId="39" xfId="0" applyNumberFormat="1" applyFill="1" applyBorder="1">
      <alignment vertical="center"/>
    </xf>
    <xf numFmtId="0" fontId="2" fillId="0" borderId="24" xfId="0" applyBorder="1" applyAlignment="1">
      <alignment horizontal="center" vertical="bottom"/>
    </xf>
    <xf numFmtId="17" fontId="2" fillId="0" borderId="2" xfId="0" applyNumberFormat="1" applyBorder="1" applyAlignment="1">
      <alignment horizontal="center" vertical="bottom"/>
    </xf>
    <xf numFmtId="0" fontId="3" fillId="2" borderId="18" xfId="0" applyFill="1" applyBorder="1" applyAlignment="1">
      <alignment horizontal="center" vertical="center"/>
    </xf>
    <xf numFmtId="43" fontId="1" fillId="0" borderId="18" xfId="1" applyBorder="1" applyAlignment="1">
      <alignment vertical="bottom"/>
    </xf>
  </cellXfs>
  <cellStyles count="4">
    <cellStyle name="常规" xfId="0" builtinId="0"/>
    <cellStyle name="千位分隔[0]" xfId="1" builtinId="6"/>
    <cellStyle name="Normal 2 2" xfId="2"/>
    <cellStyle name="百分比" xfId="3" builtin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31"/>
  <sheetViews>
    <sheetView workbookViewId="0" topLeftCell="C1" zoomScale="90">
      <selection activeCell="P21" sqref="P21"/>
    </sheetView>
  </sheetViews>
  <sheetFormatPr defaultRowHeight="15.0" defaultColWidth="10"/>
  <cols>
    <col min="1" max="1" customWidth="1" width="26.71875" style="1"/>
    <col min="2" max="2" customWidth="1" width="12.2890625" style="1"/>
    <col min="3" max="3" customWidth="1" width="12.2890625" style="1"/>
    <col min="4" max="4" customWidth="1" width="12.574219" style="2"/>
    <col min="5" max="5" customWidth="1" width="12.2890625" style="1"/>
    <col min="6" max="6" customWidth="1" width="11.4296875" style="1"/>
    <col min="7" max="7" customWidth="1" width="12.2890625" style="1"/>
    <col min="8" max="8" customWidth="1" width="12.2890625" style="1"/>
    <col min="9" max="9" customWidth="1" width="11.2890625" style="1"/>
    <col min="10" max="10" customWidth="1" width="12.2890625" style="1"/>
    <col min="11" max="11" customWidth="1" width="12.2890625" style="1"/>
    <col min="12" max="12" customWidth="1" width="12.2890625" style="1"/>
    <col min="13" max="13" customWidth="1" width="12.2890625" style="1"/>
    <col min="14" max="14" customWidth="1" width="12.2890625" style="3"/>
    <col min="15" max="15" customWidth="1" width="12.2890625" style="1"/>
    <col min="16" max="16" customWidth="1" width="12.2890625" style="1"/>
    <col min="17" max="17" customWidth="1" width="12.2890625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>
      <c r="A1" s="2"/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4"/>
      <c r="O1" s="2"/>
      <c r="P1" s="2"/>
    </row>
    <row r="2" spans="8:8" ht="15.75">
      <c r="A2" s="5"/>
      <c r="B2" s="2"/>
      <c r="C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</row>
    <row r="3" spans="8:8" ht="15.75" customHeight="1">
      <c r="A3" s="6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8:8">
      <c r="A4" s="10"/>
      <c r="B4" s="11" t="s">
        <v>6</v>
      </c>
      <c r="C4" s="12"/>
      <c r="D4" s="12"/>
      <c r="E4" s="13"/>
      <c r="F4" s="11" t="s">
        <v>6</v>
      </c>
      <c r="G4" s="12"/>
      <c r="H4" s="12"/>
      <c r="I4" s="13"/>
      <c r="J4" s="11" t="s">
        <v>7</v>
      </c>
      <c r="K4" s="12"/>
      <c r="L4" s="12"/>
      <c r="M4" s="13"/>
      <c r="N4" s="11" t="s">
        <v>7</v>
      </c>
      <c r="O4" s="12"/>
      <c r="P4" s="12"/>
      <c r="Q4" s="13"/>
    </row>
    <row r="5" spans="8:8" ht="15.75">
      <c r="A5" s="10"/>
      <c r="B5" s="14" t="s">
        <v>8</v>
      </c>
      <c r="C5" s="15"/>
      <c r="D5" s="15"/>
      <c r="E5" s="16"/>
      <c r="F5" s="14" t="s">
        <v>9</v>
      </c>
      <c r="G5" s="15"/>
      <c r="H5" s="15"/>
      <c r="I5" s="16"/>
      <c r="J5" s="14" t="s">
        <v>10</v>
      </c>
      <c r="K5" s="15"/>
      <c r="L5" s="15"/>
      <c r="M5" s="16"/>
      <c r="N5" s="14" t="s">
        <v>11</v>
      </c>
      <c r="O5" s="15"/>
      <c r="P5" s="15"/>
      <c r="Q5" s="16"/>
    </row>
    <row r="6" spans="8:8" ht="15.75">
      <c r="A6" s="10"/>
      <c r="B6" s="17">
        <v>43466.0</v>
      </c>
      <c r="C6" s="17">
        <v>43497.0</v>
      </c>
      <c r="D6" s="17">
        <v>43525.0</v>
      </c>
      <c r="E6" s="18" t="s">
        <v>13</v>
      </c>
      <c r="F6" s="17">
        <v>43466.0</v>
      </c>
      <c r="G6" s="17">
        <v>43497.0</v>
      </c>
      <c r="H6" s="17">
        <v>43525.0</v>
      </c>
      <c r="I6" s="18" t="s">
        <v>13</v>
      </c>
      <c r="J6" s="17">
        <v>43466.0</v>
      </c>
      <c r="K6" s="17">
        <v>43497.0</v>
      </c>
      <c r="L6" s="17">
        <v>43525.0</v>
      </c>
      <c r="M6" s="18" t="s">
        <v>13</v>
      </c>
      <c r="N6" s="17">
        <v>43466.0</v>
      </c>
      <c r="O6" s="17">
        <v>43497.0</v>
      </c>
      <c r="P6" s="17">
        <v>43525.0</v>
      </c>
      <c r="Q6" s="18" t="s">
        <v>13</v>
      </c>
    </row>
    <row r="7" spans="8:8" ht="15.75">
      <c r="A7" s="10"/>
      <c r="B7" s="19" t="s">
        <v>14</v>
      </c>
      <c r="C7" s="20"/>
      <c r="D7" s="21"/>
      <c r="E7" s="22"/>
      <c r="F7" s="19" t="s">
        <v>14</v>
      </c>
      <c r="G7" s="20"/>
      <c r="H7" s="21"/>
      <c r="I7" s="22"/>
      <c r="J7" s="19" t="s">
        <v>14</v>
      </c>
      <c r="K7" s="20"/>
      <c r="L7" s="21"/>
      <c r="M7" s="22"/>
      <c r="N7" s="19" t="s">
        <v>14</v>
      </c>
      <c r="O7" s="20"/>
      <c r="P7" s="21"/>
      <c r="Q7" s="23"/>
    </row>
    <row r="8" spans="8:8">
      <c r="A8" s="24" t="s">
        <v>15</v>
      </c>
      <c r="B8" s="25"/>
      <c r="C8" s="26"/>
      <c r="D8" s="27">
        <v>28.0</v>
      </c>
      <c r="E8" s="28">
        <f>(D8+C8+B8)/3</f>
        <v>9.333333333333334</v>
      </c>
      <c r="F8" s="25"/>
      <c r="G8" s="29">
        <v>-4.0</v>
      </c>
      <c r="H8" s="25">
        <v>26.0</v>
      </c>
      <c r="I8" s="28">
        <f>(F8+G8+H8)/3</f>
        <v>7.333333333333333</v>
      </c>
      <c r="J8" s="25">
        <v>10.0</v>
      </c>
      <c r="K8" s="29"/>
      <c r="L8" s="30"/>
      <c r="M8" s="31">
        <f>(L8+K8+J8)/3</f>
        <v>3.3333333333333335</v>
      </c>
      <c r="N8" s="25">
        <v>15.0</v>
      </c>
      <c r="O8" s="29">
        <v>10.0</v>
      </c>
      <c r="P8" s="25">
        <v>50.0</v>
      </c>
      <c r="Q8" s="32">
        <f>(P8+O8+N8)/3</f>
        <v>25.0</v>
      </c>
    </row>
    <row r="9" spans="8:8">
      <c r="A9" s="33" t="s">
        <v>16</v>
      </c>
      <c r="B9" s="34">
        <v>1.0</v>
      </c>
      <c r="C9" s="35"/>
      <c r="D9" s="36">
        <v>3.0</v>
      </c>
      <c r="E9" s="37">
        <f>(D9+C9+B9)/3</f>
        <v>1.3333333333333333</v>
      </c>
      <c r="F9" s="38">
        <v>12.0</v>
      </c>
      <c r="G9" s="38"/>
      <c r="H9" s="38">
        <v>2.0</v>
      </c>
      <c r="I9" s="37">
        <f>(H9+G9+F9)/3</f>
        <v>4.666666666666667</v>
      </c>
      <c r="J9" s="39"/>
      <c r="K9" s="39"/>
      <c r="L9" s="39"/>
      <c r="M9" s="40">
        <f>(L9+K9+J9)/3</f>
        <v>0.0</v>
      </c>
      <c r="N9" s="41"/>
      <c r="O9" s="38">
        <v>1.0</v>
      </c>
      <c r="P9" s="38">
        <v>3.0</v>
      </c>
      <c r="Q9" s="32">
        <f>(P9+O9+N9)/3</f>
        <v>1.3333333333333333</v>
      </c>
    </row>
    <row r="10" spans="8:8">
      <c r="A10" s="33" t="s">
        <v>17</v>
      </c>
      <c r="B10" s="34">
        <v>10.0</v>
      </c>
      <c r="C10" s="42">
        <v>5.0</v>
      </c>
      <c r="D10" s="36">
        <v>28.0</v>
      </c>
      <c r="E10" s="37">
        <f>(D10+C10+B10)/3</f>
        <v>14.333333333333334</v>
      </c>
      <c r="F10" s="41">
        <v>48.0</v>
      </c>
      <c r="G10" s="34">
        <v>7.0</v>
      </c>
      <c r="H10" s="34">
        <v>46.0</v>
      </c>
      <c r="I10" s="37">
        <f>(H10+G10+F10)/3</f>
        <v>33.666666666666664</v>
      </c>
      <c r="J10" s="38">
        <v>10.0</v>
      </c>
      <c r="K10" s="41"/>
      <c r="L10" s="39">
        <v>84.0</v>
      </c>
      <c r="M10" s="40">
        <f>(L10+K10+J10)/3</f>
        <v>31.333333333333332</v>
      </c>
      <c r="N10" s="38">
        <f>288/12</f>
        <v>24.0</v>
      </c>
      <c r="O10" s="41">
        <v>10.0</v>
      </c>
      <c r="P10" s="38">
        <f>419/12</f>
        <v>34.916666666666664</v>
      </c>
      <c r="Q10" s="32">
        <f>(P10+O10+N10)/3</f>
        <v>22.972222222222218</v>
      </c>
    </row>
    <row r="11" spans="8:8">
      <c r="A11" s="33" t="s">
        <v>18</v>
      </c>
      <c r="B11" s="34">
        <v>1.0</v>
      </c>
      <c r="C11" s="42">
        <v>1.0</v>
      </c>
      <c r="D11" s="36">
        <v>1.0</v>
      </c>
      <c r="E11" s="37">
        <f>(D11+C11+B11)/3</f>
        <v>1.0</v>
      </c>
      <c r="F11" s="38">
        <v>1.0</v>
      </c>
      <c r="G11" s="38"/>
      <c r="H11" s="38">
        <v>1.0</v>
      </c>
      <c r="I11" s="37">
        <f>(H11+G11+F11)/3</f>
        <v>0.6666666666666666</v>
      </c>
      <c r="J11" s="39"/>
      <c r="K11" s="39"/>
      <c r="L11" s="39"/>
      <c r="M11" s="40">
        <f>(L11+K11+J11)/3</f>
        <v>0.0</v>
      </c>
      <c r="N11" s="41"/>
      <c r="O11" s="41"/>
      <c r="P11" s="38">
        <f>48/12</f>
        <v>4.0</v>
      </c>
      <c r="Q11" s="32">
        <f>(P11+O11+N11)/3</f>
        <v>1.3333333333333333</v>
      </c>
    </row>
    <row r="12" spans="8:8">
      <c r="A12" s="33" t="s">
        <v>19</v>
      </c>
      <c r="B12" s="34">
        <v>45.0</v>
      </c>
      <c r="C12" s="42">
        <v>35.0</v>
      </c>
      <c r="D12" s="36">
        <v>227.0</v>
      </c>
      <c r="E12" s="37">
        <f>(D12+C12+B12)/3</f>
        <v>102.33333333333333</v>
      </c>
      <c r="F12" s="34">
        <v>82.0</v>
      </c>
      <c r="G12" s="43">
        <v>70.0</v>
      </c>
      <c r="H12" s="38">
        <v>307.0</v>
      </c>
      <c r="I12" s="37">
        <f>(H12+G12+F12)/3</f>
        <v>153.0</v>
      </c>
      <c r="J12" s="38">
        <f>1800/36</f>
        <v>50.0</v>
      </c>
      <c r="K12" s="41">
        <f>3598/36</f>
        <v>99.94444444444444</v>
      </c>
      <c r="L12" s="41">
        <f>5679/36</f>
        <v>157.75</v>
      </c>
      <c r="M12" s="40">
        <f>(L12+K12+J12)/3</f>
        <v>102.56481481481482</v>
      </c>
      <c r="N12" s="38">
        <f>3600/36</f>
        <v>100.0</v>
      </c>
      <c r="O12" s="41">
        <f>4494/36</f>
        <v>124.83333333333333</v>
      </c>
      <c r="P12" s="41">
        <f>10795/36</f>
        <v>299.8611111111111</v>
      </c>
      <c r="Q12" s="32">
        <f>(P12+O12+N12)/3</f>
        <v>174.89814814814812</v>
      </c>
    </row>
    <row r="13" spans="8:8">
      <c r="A13" s="44" t="s">
        <v>20</v>
      </c>
      <c r="B13" s="45">
        <v>5004000.0</v>
      </c>
      <c r="C13" s="46">
        <v>3474000.0</v>
      </c>
      <c r="D13" s="45">
        <v>2.34526E7</v>
      </c>
      <c r="E13" s="37">
        <f>(D13+C13+B13)/3</f>
        <v>1.0643533333333334E7</v>
      </c>
      <c r="F13" s="45">
        <v>7454400.0</v>
      </c>
      <c r="G13" s="47">
        <v>5777800.0</v>
      </c>
      <c r="H13" s="45">
        <v>3.0656E7</v>
      </c>
      <c r="I13" s="37">
        <f>(H13+G13+F13)/3</f>
        <v>1.46294E7</v>
      </c>
      <c r="J13" s="48">
        <v>5416000.0</v>
      </c>
      <c r="K13" s="48">
        <v>7915600.0</v>
      </c>
      <c r="L13" s="48">
        <v>1.3023E7</v>
      </c>
      <c r="M13" s="40">
        <f>(L13+K13+J13)/3</f>
        <v>8784866.666666666</v>
      </c>
      <c r="N13" s="48">
        <v>1.07844E7</v>
      </c>
      <c r="O13" s="38">
        <v>1.17028E7</v>
      </c>
      <c r="P13" s="38">
        <v>3.22647E7</v>
      </c>
      <c r="Q13" s="32">
        <f>(P13+O13+N13)/3</f>
        <v>1.8250633333333332E7</v>
      </c>
    </row>
    <row r="14" spans="8:8">
      <c r="A14" s="49" t="s">
        <v>21</v>
      </c>
      <c r="B14" s="34">
        <v>4.0</v>
      </c>
      <c r="C14" s="42">
        <v>4.0</v>
      </c>
      <c r="D14" s="34">
        <v>23.0</v>
      </c>
      <c r="E14" s="37">
        <f>(D14+C14+B14)/3</f>
        <v>10.333333333333334</v>
      </c>
      <c r="F14" s="43">
        <v>12.0</v>
      </c>
      <c r="G14" s="41">
        <v>-2.0</v>
      </c>
      <c r="H14" s="38">
        <f>768/24</f>
        <v>32.0</v>
      </c>
      <c r="I14" s="37">
        <f>(H14+G14+F14)/3</f>
        <v>14.0</v>
      </c>
      <c r="J14" s="38">
        <f>239/24</f>
        <v>9.958333333333334</v>
      </c>
      <c r="K14" s="41">
        <f>239/24</f>
        <v>9.958333333333334</v>
      </c>
      <c r="L14" s="41">
        <f>479/24</f>
        <v>19.958333333333332</v>
      </c>
      <c r="M14" s="40">
        <f>(L14+K14+J14)/3</f>
        <v>13.291666666666666</v>
      </c>
      <c r="N14" s="38">
        <f>360/24</f>
        <v>15.0</v>
      </c>
      <c r="O14" s="41">
        <f>312/24</f>
        <v>13.0</v>
      </c>
      <c r="P14" s="41">
        <f>1752/24</f>
        <v>73.0</v>
      </c>
      <c r="Q14" s="32">
        <f>(P14+O14+N14)/3</f>
        <v>33.666666666666664</v>
      </c>
    </row>
    <row r="15" spans="8:8">
      <c r="A15" s="49" t="s">
        <v>22</v>
      </c>
      <c r="B15" s="34">
        <v>5.0</v>
      </c>
      <c r="C15" s="42">
        <v>2.0</v>
      </c>
      <c r="D15" s="34">
        <v>16.0</v>
      </c>
      <c r="E15" s="37">
        <f>(D15+C15+B15)/3</f>
        <v>7.666666666666667</v>
      </c>
      <c r="F15" s="43">
        <v>6.0</v>
      </c>
      <c r="G15" s="38">
        <v>1.0</v>
      </c>
      <c r="H15" s="38">
        <f>300/12</f>
        <v>25.0</v>
      </c>
      <c r="I15" s="37">
        <f>(H15+G15+F15)/3</f>
        <v>10.666666666666666</v>
      </c>
      <c r="J15" s="38">
        <v>10.0</v>
      </c>
      <c r="K15" s="39"/>
      <c r="L15" s="39"/>
      <c r="M15" s="40">
        <f>(L15+K15+J15)/3</f>
        <v>3.3333333333333335</v>
      </c>
      <c r="N15" s="38">
        <f>60/12</f>
        <v>5.0</v>
      </c>
      <c r="O15" s="41">
        <f>120/12</f>
        <v>10.0</v>
      </c>
      <c r="P15" s="41">
        <f>504/12</f>
        <v>42.0</v>
      </c>
      <c r="Q15" s="32">
        <f>(P15+O15+N15)/3</f>
        <v>19.0</v>
      </c>
    </row>
    <row r="16" spans="8:8">
      <c r="A16" s="49" t="s">
        <v>23</v>
      </c>
      <c r="B16" s="50">
        <v>18.0</v>
      </c>
      <c r="C16" s="51">
        <v>10.0</v>
      </c>
      <c r="D16" s="50">
        <v>126.0</v>
      </c>
      <c r="E16" s="37">
        <f>(D16+C16+B16)/3</f>
        <v>51.333333333333336</v>
      </c>
      <c r="F16" s="52">
        <v>22.0</v>
      </c>
      <c r="G16" s="52">
        <v>7.0</v>
      </c>
      <c r="H16" s="38">
        <f>900/6</f>
        <v>150.0</v>
      </c>
      <c r="I16" s="37">
        <f>(H16+G16+F16)/3</f>
        <v>59.666666666666664</v>
      </c>
      <c r="J16" s="38">
        <f>162/6</f>
        <v>27.0</v>
      </c>
      <c r="K16" s="41">
        <f>120/6</f>
        <v>20.0</v>
      </c>
      <c r="L16" s="41">
        <v>20.0</v>
      </c>
      <c r="M16" s="40">
        <f>(L16+K16+J16)/3</f>
        <v>22.333333333333332</v>
      </c>
      <c r="N16" s="38">
        <f>138/6</f>
        <v>23.0</v>
      </c>
      <c r="O16" s="41">
        <f>150/6</f>
        <v>25.0</v>
      </c>
      <c r="P16" s="41">
        <f>1110/6</f>
        <v>185.0</v>
      </c>
      <c r="Q16" s="32">
        <f>(P16+O16+N16)/3</f>
        <v>77.66666666666667</v>
      </c>
    </row>
    <row r="17" spans="8:8">
      <c r="A17" s="49" t="s">
        <v>24</v>
      </c>
      <c r="B17" s="50">
        <v>13.0</v>
      </c>
      <c r="C17" s="51">
        <v>6.0</v>
      </c>
      <c r="D17" s="50">
        <v>65.0</v>
      </c>
      <c r="E17" s="37">
        <f>(D17+C17+B17)/3</f>
        <v>28.0</v>
      </c>
      <c r="F17" s="52">
        <v>17.0</v>
      </c>
      <c r="G17" s="41">
        <v>5.0</v>
      </c>
      <c r="H17" s="38">
        <f>330/6</f>
        <v>55.0</v>
      </c>
      <c r="I17" s="37">
        <f>(H17+G17+F17)/3</f>
        <v>25.666666666666668</v>
      </c>
      <c r="J17" s="38">
        <v>10.0</v>
      </c>
      <c r="K17" s="41">
        <f>90/6</f>
        <v>15.0</v>
      </c>
      <c r="L17" s="39">
        <f>89/6</f>
        <v>14.833333333333334</v>
      </c>
      <c r="M17" s="40">
        <f>(L17+K17+J17)/3</f>
        <v>13.277777777777779</v>
      </c>
      <c r="N17" s="38">
        <f>78/6</f>
        <v>13.0</v>
      </c>
      <c r="O17" s="41">
        <f>36/6</f>
        <v>6.0</v>
      </c>
      <c r="P17" s="41">
        <f>808/6</f>
        <v>134.66666666666666</v>
      </c>
      <c r="Q17" s="32">
        <f>(P17+O17+N17)/3</f>
        <v>51.22222222222222</v>
      </c>
    </row>
    <row r="18" spans="8:8">
      <c r="A18" s="49" t="s">
        <v>25</v>
      </c>
      <c r="B18" s="50">
        <v>5.0</v>
      </c>
      <c r="C18" s="51">
        <v>4.0</v>
      </c>
      <c r="D18" s="50">
        <v>55.0</v>
      </c>
      <c r="E18" s="37">
        <f>(D18+C18+B18)/3</f>
        <v>21.333333333333332</v>
      </c>
      <c r="F18" s="52">
        <v>17.0</v>
      </c>
      <c r="G18" s="41">
        <v>5.0</v>
      </c>
      <c r="H18" s="38">
        <f>492/6</f>
        <v>82.0</v>
      </c>
      <c r="I18" s="37">
        <f>(H18+G18+F18)/3</f>
        <v>34.666666666666664</v>
      </c>
      <c r="J18" s="38">
        <f>78/6</f>
        <v>13.0</v>
      </c>
      <c r="K18" s="41">
        <f>29/6</f>
        <v>4.833333333333333</v>
      </c>
      <c r="L18" s="41">
        <v>-1.0</v>
      </c>
      <c r="M18" s="40">
        <f>(L18+K18+J18)/3</f>
        <v>5.611111111111111</v>
      </c>
      <c r="N18" s="38">
        <f>180/6</f>
        <v>30.0</v>
      </c>
      <c r="O18" s="38">
        <f>180/6</f>
        <v>30.0</v>
      </c>
      <c r="P18" s="41"/>
      <c r="Q18" s="32">
        <f>(P18+O18+N18)/3</f>
        <v>20.0</v>
      </c>
    </row>
    <row r="19" spans="8:8">
      <c r="A19" s="53" t="s">
        <v>26</v>
      </c>
      <c r="B19" s="34">
        <v>4.0</v>
      </c>
      <c r="C19" s="42">
        <v>3.0</v>
      </c>
      <c r="D19" s="34">
        <v>33.0</v>
      </c>
      <c r="E19" s="37">
        <f>(D19+C19+B19)/3</f>
        <v>13.333333333333334</v>
      </c>
      <c r="F19" s="41">
        <v>10.0</v>
      </c>
      <c r="G19" s="43">
        <v>3.0</v>
      </c>
      <c r="H19" s="38">
        <f>744/24</f>
        <v>31.0</v>
      </c>
      <c r="I19" s="37">
        <f>(H19+G19+F19)/3</f>
        <v>14.666666666666666</v>
      </c>
      <c r="J19" s="39"/>
      <c r="K19" s="39"/>
      <c r="L19" s="39"/>
      <c r="M19" s="40">
        <f>(L19+K19+J19)/3</f>
        <v>0.0</v>
      </c>
      <c r="N19" s="41"/>
      <c r="O19" s="38"/>
      <c r="P19" s="38"/>
      <c r="Q19" s="32">
        <f>(P19+O19+N19)/3</f>
        <v>0.0</v>
      </c>
    </row>
    <row r="20" spans="8:8">
      <c r="A20" s="44" t="s">
        <v>27</v>
      </c>
      <c r="B20" s="45">
        <v>2931000.0</v>
      </c>
      <c r="C20" s="46">
        <v>1723030.0</v>
      </c>
      <c r="D20" s="45">
        <v>1.914924E7</v>
      </c>
      <c r="E20" s="37">
        <f>(D20+C20+B20)/3</f>
        <v>7934423.333333333</v>
      </c>
      <c r="F20" s="45">
        <v>5046840.0</v>
      </c>
      <c r="G20" s="45">
        <v>1228390.0</v>
      </c>
      <c r="H20" s="45">
        <v>2.2944E7</v>
      </c>
      <c r="I20" s="37">
        <f>(H20+G20+F20)/3</f>
        <v>9739743.333333334</v>
      </c>
      <c r="J20" s="48">
        <v>4395550.0</v>
      </c>
      <c r="K20" s="48">
        <v>3135750.0</v>
      </c>
      <c r="L20" s="48">
        <v>3440850.0</v>
      </c>
      <c r="M20" s="40">
        <f>(L20+K20+J20)/3</f>
        <v>3657383.3333333335</v>
      </c>
      <c r="N20" s="48">
        <v>5551500.0</v>
      </c>
      <c r="O20" s="38">
        <v>5406300.0</v>
      </c>
      <c r="P20" s="38">
        <v>2.674518E7</v>
      </c>
      <c r="Q20" s="32">
        <f>(P20+O20+N20)/3</f>
        <v>1.256766E7</v>
      </c>
    </row>
    <row r="21" spans="8:8">
      <c r="A21" s="49" t="s">
        <v>28</v>
      </c>
      <c r="B21" s="38">
        <v>2.0</v>
      </c>
      <c r="C21" s="38">
        <v>1.0</v>
      </c>
      <c r="D21" s="38">
        <v>1.0</v>
      </c>
      <c r="E21" s="37">
        <f>(D21+C21+B21)/3</f>
        <v>1.3333333333333333</v>
      </c>
      <c r="F21" s="38">
        <v>2.0</v>
      </c>
      <c r="G21" s="41">
        <v>1.0</v>
      </c>
      <c r="H21" s="38">
        <v>2.0</v>
      </c>
      <c r="I21" s="37">
        <f>(H21+G21+F21)/3</f>
        <v>1.6666666666666667</v>
      </c>
      <c r="J21" s="39">
        <v>3.0</v>
      </c>
      <c r="K21" s="39">
        <v>3.0</v>
      </c>
      <c r="L21" s="39">
        <v>3.0</v>
      </c>
      <c r="M21" s="40">
        <f>(L21+K21+J21)/3</f>
        <v>3.0</v>
      </c>
      <c r="N21" s="41">
        <v>2.0</v>
      </c>
      <c r="O21" s="38">
        <v>3.0</v>
      </c>
      <c r="P21" s="34">
        <v>17.0</v>
      </c>
      <c r="Q21" s="32">
        <f>(P21+O21+N21)/3</f>
        <v>7.333333333333333</v>
      </c>
    </row>
    <row r="22" spans="8:8">
      <c r="A22" s="44" t="s">
        <v>29</v>
      </c>
      <c r="B22" s="45">
        <v>180000.0</v>
      </c>
      <c r="C22" s="54">
        <v>90000.0</v>
      </c>
      <c r="D22" s="45">
        <v>90000.0</v>
      </c>
      <c r="E22" s="37">
        <f>(D22+C22+B22)/3</f>
        <v>120000.0</v>
      </c>
      <c r="F22" s="45">
        <v>180000.0</v>
      </c>
      <c r="G22" s="45">
        <v>90000.0</v>
      </c>
      <c r="H22" s="45">
        <v>180000.0</v>
      </c>
      <c r="I22" s="37">
        <f>(H22+G22+F22)/3</f>
        <v>150000.0</v>
      </c>
      <c r="J22" s="48">
        <v>270000.0</v>
      </c>
      <c r="K22" s="48">
        <v>270000.0</v>
      </c>
      <c r="L22" s="48">
        <v>270000.0</v>
      </c>
      <c r="M22" s="40">
        <f>(L22+K22+J22)/3</f>
        <v>270000.0</v>
      </c>
      <c r="N22" s="48">
        <v>180000.0</v>
      </c>
      <c r="O22" s="45">
        <v>270000.0</v>
      </c>
      <c r="P22" s="38">
        <v>1530000.0</v>
      </c>
      <c r="Q22" s="32">
        <f>(P22+O22+N22)/3</f>
        <v>660000.0</v>
      </c>
    </row>
    <row r="23" spans="8:8" ht="15.75">
      <c r="A23" s="55" t="s">
        <v>30</v>
      </c>
      <c r="B23" s="56">
        <f>SUM(B13,B20,B22)</f>
        <v>8115000.0</v>
      </c>
      <c r="C23" s="57">
        <f>SUM(C13,C20,C22)</f>
        <v>5287030.0</v>
      </c>
      <c r="D23" s="56">
        <f>SUM(D13,D20,D22)</f>
        <v>4.269184E7</v>
      </c>
      <c r="E23" s="58">
        <f>(D23+C23+B23)/3</f>
        <v>1.8697956666666668E7</v>
      </c>
      <c r="F23" s="56">
        <f>SUM(F13,F20,F22)</f>
        <v>1.268124E7</v>
      </c>
      <c r="G23" s="56">
        <f>SUM(G13,G20,G22)</f>
        <v>7096190.0</v>
      </c>
      <c r="H23" s="56">
        <f>SUM(H13,H20,H22)</f>
        <v>5.378E7</v>
      </c>
      <c r="I23" s="58">
        <f>(H23+G23+F23)/3</f>
        <v>2.4519143333333332E7</v>
      </c>
      <c r="J23" s="56">
        <f>SUM(J13,J20,J22)</f>
        <v>1.008155E7</v>
      </c>
      <c r="K23" s="56">
        <f>SUM(K13,K20,K22)</f>
        <v>1.132135E7</v>
      </c>
      <c r="L23" s="56">
        <f>SUM(L13,L20,L22)</f>
        <v>1.673385E7</v>
      </c>
      <c r="M23" s="59">
        <f>(L23+K23+J23)/3</f>
        <v>1.271225E7</v>
      </c>
      <c r="N23" s="56">
        <f>SUM(N13,N20,N22)</f>
        <v>1.65159E7</v>
      </c>
      <c r="O23" s="56">
        <f>SUM(O13,O20,O22)</f>
        <v>1.73791E7</v>
      </c>
      <c r="P23" s="56">
        <f>SUM(P13,P20,P22)</f>
        <v>6.053988E7</v>
      </c>
      <c r="Q23" s="32">
        <f>(P23+O23+N23)/3</f>
        <v>3.1478293333333332E7</v>
      </c>
    </row>
    <row r="31" spans="8:8">
      <c r="O31" s="60"/>
    </row>
  </sheetData>
  <mergeCells count="18">
    <mergeCell ref="A3:A7"/>
    <mergeCell ref="I6:I7"/>
    <mergeCell ref="B5:E5"/>
    <mergeCell ref="F5:I5"/>
    <mergeCell ref="E6:E7"/>
    <mergeCell ref="B7:D7"/>
    <mergeCell ref="F7:H7"/>
    <mergeCell ref="B3:Q3"/>
    <mergeCell ref="F4:I4"/>
    <mergeCell ref="J4:M4"/>
    <mergeCell ref="N4:Q4"/>
    <mergeCell ref="J5:M5"/>
    <mergeCell ref="N5:Q5"/>
    <mergeCell ref="Q6:Q7"/>
    <mergeCell ref="M6:M7"/>
    <mergeCell ref="B4:E4"/>
    <mergeCell ref="J7:L7"/>
    <mergeCell ref="N7:P7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31"/>
  <sheetViews>
    <sheetView workbookViewId="0" topLeftCell="N1" zoomScale="62">
      <selection activeCell="T12" sqref="T12"/>
    </sheetView>
  </sheetViews>
  <sheetFormatPr defaultRowHeight="15.0" defaultColWidth="10"/>
  <cols>
    <col min="1" max="1" customWidth="1" width="26.71875" style="1"/>
    <col min="2" max="2" customWidth="1" width="12.2890625" style="1"/>
    <col min="3" max="3" customWidth="1" width="12.2890625" style="1"/>
    <col min="4" max="4" customWidth="1" width="12.574219" style="2"/>
    <col min="5" max="5" customWidth="1" width="12.2890625" style="1"/>
    <col min="6" max="6" customWidth="1" width="11.4296875" style="1"/>
    <col min="7" max="7" customWidth="1" width="12.2890625" style="1"/>
    <col min="8" max="8" customWidth="1" width="12.2890625" style="1"/>
    <col min="9" max="9" customWidth="1" width="11.2890625" style="1"/>
    <col min="10" max="10" customWidth="1" width="12.2890625" style="1"/>
    <col min="11" max="11" customWidth="1" width="12.2890625" style="1"/>
    <col min="12" max="12" customWidth="1" width="12.2890625" style="1"/>
    <col min="13" max="13" customWidth="1" width="12.2890625" style="1"/>
    <col min="14" max="14" customWidth="1" width="12.2890625" style="3"/>
    <col min="15" max="15" customWidth="1" width="12.2890625" style="1"/>
    <col min="16" max="16" customWidth="1" width="12.2890625" style="1"/>
    <col min="17" max="17" customWidth="1" width="12.2890625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>
      <c r="A1" s="2"/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4"/>
      <c r="O1" s="2"/>
      <c r="P1" s="2"/>
    </row>
    <row r="2" spans="8:8">
      <c r="A2" s="5"/>
      <c r="B2" s="2"/>
      <c r="C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</row>
    <row r="3" spans="8:8" ht="15.75" customHeight="1">
      <c r="A3" s="6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8:8">
      <c r="A4" s="10"/>
      <c r="B4" s="11" t="s">
        <v>6</v>
      </c>
      <c r="C4" s="12"/>
      <c r="D4" s="12"/>
      <c r="E4" s="13"/>
      <c r="F4" s="11" t="s">
        <v>6</v>
      </c>
      <c r="G4" s="12"/>
      <c r="H4" s="12"/>
      <c r="I4" s="13"/>
      <c r="J4" s="11" t="s">
        <v>7</v>
      </c>
      <c r="K4" s="12"/>
      <c r="L4" s="12"/>
      <c r="M4" s="13"/>
      <c r="N4" s="11" t="s">
        <v>7</v>
      </c>
      <c r="O4" s="12"/>
      <c r="P4" s="12"/>
      <c r="Q4" s="13"/>
    </row>
    <row r="5" spans="8:8" ht="15.75">
      <c r="A5" s="10"/>
      <c r="B5" s="14" t="s">
        <v>8</v>
      </c>
      <c r="C5" s="15"/>
      <c r="D5" s="15"/>
      <c r="E5" s="16"/>
      <c r="F5" s="14" t="s">
        <v>9</v>
      </c>
      <c r="G5" s="15"/>
      <c r="H5" s="15"/>
      <c r="I5" s="16"/>
      <c r="J5" s="14" t="s">
        <v>10</v>
      </c>
      <c r="K5" s="15"/>
      <c r="L5" s="15"/>
      <c r="M5" s="16"/>
      <c r="N5" s="14" t="s">
        <v>11</v>
      </c>
      <c r="O5" s="15"/>
      <c r="P5" s="15"/>
      <c r="Q5" s="16"/>
    </row>
    <row r="6" spans="8:8" ht="15.75">
      <c r="A6" s="10"/>
      <c r="B6" s="17">
        <v>43556.0</v>
      </c>
      <c r="C6" s="17">
        <v>43586.0</v>
      </c>
      <c r="D6" s="17">
        <v>43617.0</v>
      </c>
      <c r="E6" s="18" t="s">
        <v>13</v>
      </c>
      <c r="F6" s="17">
        <v>43556.0</v>
      </c>
      <c r="G6" s="17">
        <v>43586.0</v>
      </c>
      <c r="H6" s="17">
        <v>43617.0</v>
      </c>
      <c r="I6" s="18" t="s">
        <v>13</v>
      </c>
      <c r="J6" s="17">
        <v>43556.0</v>
      </c>
      <c r="K6" s="17">
        <v>43586.0</v>
      </c>
      <c r="L6" s="17">
        <v>43617.0</v>
      </c>
      <c r="M6" s="18" t="s">
        <v>13</v>
      </c>
      <c r="N6" s="17">
        <v>43556.0</v>
      </c>
      <c r="O6" s="17">
        <v>43586.0</v>
      </c>
      <c r="P6" s="17">
        <v>43617.0</v>
      </c>
      <c r="Q6" s="18" t="s">
        <v>13</v>
      </c>
    </row>
    <row r="7" spans="8:8" ht="15.75">
      <c r="A7" s="10"/>
      <c r="B7" s="19" t="s">
        <v>14</v>
      </c>
      <c r="C7" s="20"/>
      <c r="D7" s="21"/>
      <c r="E7" s="22"/>
      <c r="F7" s="19" t="s">
        <v>14</v>
      </c>
      <c r="G7" s="20"/>
      <c r="H7" s="21"/>
      <c r="I7" s="22"/>
      <c r="J7" s="19" t="s">
        <v>14</v>
      </c>
      <c r="K7" s="20"/>
      <c r="L7" s="21"/>
      <c r="M7" s="22"/>
      <c r="N7" s="19" t="s">
        <v>14</v>
      </c>
      <c r="O7" s="20"/>
      <c r="P7" s="21"/>
      <c r="Q7" s="23"/>
    </row>
    <row r="8" spans="8:8">
      <c r="A8" s="24" t="s">
        <v>15</v>
      </c>
      <c r="B8" s="25"/>
      <c r="C8" s="26">
        <f>200/10</f>
        <v>20.0</v>
      </c>
      <c r="D8" s="27">
        <v>8.0</v>
      </c>
      <c r="E8" s="28">
        <f>(D8+C8+B8)/3</f>
        <v>9.333333333333334</v>
      </c>
      <c r="F8" s="25"/>
      <c r="G8" s="29">
        <v>38.0</v>
      </c>
      <c r="H8" s="25"/>
      <c r="I8" s="28">
        <f>(F8+G8+H8)/3</f>
        <v>12.666666666666666</v>
      </c>
      <c r="J8" s="25"/>
      <c r="K8" s="29">
        <v>10.0</v>
      </c>
      <c r="L8" s="30"/>
      <c r="M8" s="31">
        <f>(L8+K8+J8)/3</f>
        <v>3.3333333333333335</v>
      </c>
      <c r="N8" s="25">
        <v>45.0</v>
      </c>
      <c r="O8" s="29"/>
      <c r="P8" s="25"/>
      <c r="Q8" s="32">
        <f>(P8+O8+N8)/3</f>
        <v>15.0</v>
      </c>
    </row>
    <row r="9" spans="8:8">
      <c r="A9" s="33" t="s">
        <v>16</v>
      </c>
      <c r="B9" s="34"/>
      <c r="C9" s="35">
        <f>12/12</f>
        <v>1.0</v>
      </c>
      <c r="D9" s="36">
        <v>1.0</v>
      </c>
      <c r="E9" s="37">
        <f>(D9+C9+B9)/3</f>
        <v>0.6666666666666666</v>
      </c>
      <c r="F9" s="38"/>
      <c r="G9" s="38"/>
      <c r="H9" s="38"/>
      <c r="I9" s="37">
        <f>(H9+G9+F9)/3</f>
        <v>0.0</v>
      </c>
      <c r="J9" s="39"/>
      <c r="K9" s="39"/>
      <c r="L9" s="39"/>
      <c r="M9" s="40">
        <f>(L9+K9+J9)/3</f>
        <v>0.0</v>
      </c>
      <c r="N9" s="41">
        <v>2.0</v>
      </c>
      <c r="O9" s="38"/>
      <c r="P9" s="38"/>
      <c r="Q9" s="32">
        <f>(P9+O9+N9)/3</f>
        <v>0.6666666666666666</v>
      </c>
    </row>
    <row r="10" spans="8:8">
      <c r="A10" s="33" t="s">
        <v>17</v>
      </c>
      <c r="B10" s="34"/>
      <c r="C10" s="42">
        <f>180/12</f>
        <v>15.0</v>
      </c>
      <c r="D10" s="36">
        <f>72/12</f>
        <v>6.0</v>
      </c>
      <c r="E10" s="37">
        <f>(D10+C10+B10)/3</f>
        <v>7.0</v>
      </c>
      <c r="F10" s="41"/>
      <c r="G10" s="34">
        <f>576/12</f>
        <v>48.0</v>
      </c>
      <c r="H10" s="34"/>
      <c r="I10" s="37">
        <f>(H10+G10+F10)/3</f>
        <v>16.0</v>
      </c>
      <c r="J10" s="38">
        <v>10.0</v>
      </c>
      <c r="K10" s="41">
        <v>10.0</v>
      </c>
      <c r="L10" s="39"/>
      <c r="M10" s="40">
        <f>(L10+K10+J10)/3</f>
        <v>6.666666666666667</v>
      </c>
      <c r="N10" s="38">
        <f>300/12</f>
        <v>25.0</v>
      </c>
      <c r="O10" s="41"/>
      <c r="P10" s="38">
        <f>96/12</f>
        <v>8.0</v>
      </c>
      <c r="Q10" s="32">
        <f>(P10+O10+N10)/3</f>
        <v>11.0</v>
      </c>
    </row>
    <row r="11" spans="8:8">
      <c r="A11" s="33" t="s">
        <v>18</v>
      </c>
      <c r="B11" s="34"/>
      <c r="C11" s="42">
        <v>1.0</v>
      </c>
      <c r="D11" s="36"/>
      <c r="E11" s="37">
        <f>(D11+C11+B11)/3</f>
        <v>0.3333333333333333</v>
      </c>
      <c r="F11" s="38"/>
      <c r="G11" s="38">
        <v>1.0</v>
      </c>
      <c r="H11" s="38"/>
      <c r="I11" s="37">
        <f>(H11+G11+F11)/3</f>
        <v>0.3333333333333333</v>
      </c>
      <c r="J11" s="39"/>
      <c r="K11" s="39"/>
      <c r="L11" s="39"/>
      <c r="M11" s="40">
        <f>(L11+K11+J11)/3</f>
        <v>0.0</v>
      </c>
      <c r="N11" s="41">
        <v>2.0</v>
      </c>
      <c r="O11" s="41"/>
      <c r="P11" s="38"/>
      <c r="Q11" s="32">
        <f>(P11+O11+N11)/3</f>
        <v>0.6666666666666666</v>
      </c>
    </row>
    <row r="12" spans="8:8">
      <c r="A12" s="33" t="s">
        <v>19</v>
      </c>
      <c r="B12" s="34">
        <v>-9.0</v>
      </c>
      <c r="C12" s="42">
        <f>4356/36</f>
        <v>121.0</v>
      </c>
      <c r="D12" s="36"/>
      <c r="E12" s="37">
        <f>(D12+C12+B12)/3</f>
        <v>37.333333333333336</v>
      </c>
      <c r="F12" s="38"/>
      <c r="G12" s="43">
        <f>5580/36</f>
        <v>155.0</v>
      </c>
      <c r="H12" s="38">
        <f>1080/36</f>
        <v>30.0</v>
      </c>
      <c r="I12" s="37">
        <f>(H12+G12+F12)/3</f>
        <v>61.666666666666664</v>
      </c>
      <c r="J12" s="38">
        <f>9360/36</f>
        <v>260.0</v>
      </c>
      <c r="K12" s="41">
        <v>-9.0</v>
      </c>
      <c r="L12" s="41">
        <f>900/36</f>
        <v>25.0</v>
      </c>
      <c r="M12" s="40">
        <f>(L12+K12+J12)/3</f>
        <v>92.0</v>
      </c>
      <c r="N12" s="38">
        <f>9000/36</f>
        <v>250.0</v>
      </c>
      <c r="O12" s="41">
        <f>7198/36</f>
        <v>199.94444444444446</v>
      </c>
      <c r="P12" s="41">
        <v>-3.0</v>
      </c>
      <c r="Q12" s="32">
        <f>(P12+O12+N12)/3</f>
        <v>148.9814814814815</v>
      </c>
    </row>
    <row r="13" spans="8:8">
      <c r="A13" s="44" t="s">
        <v>20</v>
      </c>
      <c r="B13" s="45">
        <v>-19800.0</v>
      </c>
      <c r="C13" s="46">
        <v>1.28012E7</v>
      </c>
      <c r="D13" s="45">
        <v>1338600.0</v>
      </c>
      <c r="E13" s="37">
        <f>(D13+C13+B13)/3</f>
        <v>4706666.666666667</v>
      </c>
      <c r="F13" s="45"/>
      <c r="G13" s="47">
        <v>1.88888E7</v>
      </c>
      <c r="H13" s="45">
        <v>2376000.0</v>
      </c>
      <c r="I13" s="37">
        <f>(H13+G13+F13)/3</f>
        <v>7088266.666666667</v>
      </c>
      <c r="J13" s="48">
        <v>2.1348E7</v>
      </c>
      <c r="K13" s="48">
        <v>1436200.0</v>
      </c>
      <c r="L13" s="48">
        <v>1980000.0</v>
      </c>
      <c r="M13" s="40">
        <f>(L13+K13+J13)/3</f>
        <v>8254733.333333333</v>
      </c>
      <c r="N13" s="48">
        <v>2.6208E7</v>
      </c>
      <c r="O13" s="38">
        <v>1.58356E7</v>
      </c>
      <c r="P13" s="38">
        <v>598200.0</v>
      </c>
      <c r="Q13" s="32">
        <f>(P13+O13+N13)/3</f>
        <v>1.4213933333333334E7</v>
      </c>
    </row>
    <row r="14" spans="8:8">
      <c r="A14" s="49" t="s">
        <v>21</v>
      </c>
      <c r="B14" s="34">
        <f>696/24</f>
        <v>29.0</v>
      </c>
      <c r="C14" s="42"/>
      <c r="D14" s="34"/>
      <c r="E14" s="37">
        <f>(D14+C14+B14)/3</f>
        <v>9.666666666666666</v>
      </c>
      <c r="F14" s="43">
        <f>864/24</f>
        <v>36.0</v>
      </c>
      <c r="G14" s="41"/>
      <c r="H14" s="38"/>
      <c r="I14" s="37">
        <f>(H14+G14+F14)/3</f>
        <v>12.0</v>
      </c>
      <c r="J14" s="38"/>
      <c r="K14" s="41">
        <v>-2.0</v>
      </c>
      <c r="L14" s="41"/>
      <c r="M14" s="40">
        <f>(L14+K14+J14)/3</f>
        <v>-0.6666666666666666</v>
      </c>
      <c r="N14" s="38">
        <v>-2.0</v>
      </c>
      <c r="O14" s="41"/>
      <c r="P14" s="41">
        <v>-1.0</v>
      </c>
      <c r="Q14" s="32">
        <f>(P14+O14+N14)/3</f>
        <v>-1.0</v>
      </c>
    </row>
    <row r="15" spans="8:8">
      <c r="A15" s="49" t="s">
        <v>22</v>
      </c>
      <c r="B15" s="34"/>
      <c r="C15" s="42"/>
      <c r="D15" s="34"/>
      <c r="E15" s="37">
        <f>(D15+C15+B15)/3</f>
        <v>0.0</v>
      </c>
      <c r="F15" s="43"/>
      <c r="G15" s="38"/>
      <c r="H15" s="38"/>
      <c r="I15" s="37">
        <f>(H15+G15+F15)/3</f>
        <v>0.0</v>
      </c>
      <c r="J15" s="38"/>
      <c r="K15" s="39"/>
      <c r="L15" s="39"/>
      <c r="M15" s="40">
        <f>(L15+K15+J15)/3</f>
        <v>0.0</v>
      </c>
      <c r="N15" s="38"/>
      <c r="O15" s="41">
        <f>660/6</f>
        <v>110.0</v>
      </c>
      <c r="P15" s="41"/>
      <c r="Q15" s="32">
        <f>(P15+O15+N15)/3</f>
        <v>36.666666666666664</v>
      </c>
    </row>
    <row r="16" spans="8:8">
      <c r="A16" s="49" t="s">
        <v>23</v>
      </c>
      <c r="B16" s="50">
        <f>510/6</f>
        <v>85.0</v>
      </c>
      <c r="C16" s="51">
        <f>600/6</f>
        <v>100.0</v>
      </c>
      <c r="D16" s="50">
        <f>150/6</f>
        <v>25.0</v>
      </c>
      <c r="E16" s="37">
        <f>(D16+C16+B16)/3</f>
        <v>70.0</v>
      </c>
      <c r="F16" s="52">
        <v>100.0</v>
      </c>
      <c r="G16" s="52">
        <f>300/6</f>
        <v>50.0</v>
      </c>
      <c r="H16" s="38">
        <f>90/6</f>
        <v>15.0</v>
      </c>
      <c r="I16" s="37">
        <f>(H16+G16+F16)/3</f>
        <v>55.0</v>
      </c>
      <c r="J16" s="38"/>
      <c r="K16" s="41">
        <f>629/6</f>
        <v>104.83333333333333</v>
      </c>
      <c r="L16" s="41">
        <f>30/6</f>
        <v>5.0</v>
      </c>
      <c r="M16" s="40">
        <f>(L16+K16+J16)/3</f>
        <v>36.61111111111111</v>
      </c>
      <c r="N16" s="38"/>
      <c r="O16" s="41">
        <f>2308/6</f>
        <v>384.6666666666667</v>
      </c>
      <c r="P16" s="41">
        <f>56/6</f>
        <v>9.333333333333334</v>
      </c>
      <c r="Q16" s="32">
        <f>(P16+O16+N16)/3</f>
        <v>131.33333333333334</v>
      </c>
    </row>
    <row r="17" spans="8:8">
      <c r="A17" s="49" t="s">
        <v>24</v>
      </c>
      <c r="B17" s="50">
        <f>330/6</f>
        <v>55.0</v>
      </c>
      <c r="C17" s="51"/>
      <c r="D17" s="50">
        <f>108/6</f>
        <v>18.0</v>
      </c>
      <c r="E17" s="37">
        <f>(D17+C17+B17)/3</f>
        <v>24.333333333333332</v>
      </c>
      <c r="F17" s="52">
        <f>480/6</f>
        <v>80.0</v>
      </c>
      <c r="G17" s="41"/>
      <c r="H17" s="38">
        <f>30/6</f>
        <v>5.0</v>
      </c>
      <c r="I17" s="37">
        <f>(H17+G17+F17)/3</f>
        <v>28.333333333333332</v>
      </c>
      <c r="J17" s="38">
        <f>780/6</f>
        <v>130.0</v>
      </c>
      <c r="K17" s="41">
        <f>180/6</f>
        <v>30.0</v>
      </c>
      <c r="L17" s="39"/>
      <c r="M17" s="40">
        <f>(L17+K17+J17)/3</f>
        <v>53.333333333333336</v>
      </c>
      <c r="N17" s="38"/>
      <c r="O17" s="41"/>
      <c r="P17" s="41">
        <v>10.0</v>
      </c>
      <c r="Q17" s="32">
        <f>(P17+O17+N17)/3</f>
        <v>3.3333333333333335</v>
      </c>
    </row>
    <row r="18" spans="8:8">
      <c r="A18" s="49" t="s">
        <v>25</v>
      </c>
      <c r="B18" s="50"/>
      <c r="C18" s="51"/>
      <c r="D18" s="50"/>
      <c r="E18" s="37">
        <f>(D18+C18+B18)/3</f>
        <v>0.0</v>
      </c>
      <c r="F18" s="52">
        <f>360/6</f>
        <v>60.0</v>
      </c>
      <c r="G18" s="41"/>
      <c r="H18" s="38"/>
      <c r="I18" s="37">
        <f>(H18+G18+F18)/3</f>
        <v>20.0</v>
      </c>
      <c r="J18" s="38"/>
      <c r="K18" s="41"/>
      <c r="L18" s="41"/>
      <c r="M18" s="40">
        <f>(L18+K18+J18)/3</f>
        <v>0.0</v>
      </c>
      <c r="N18" s="38">
        <v>-3.0</v>
      </c>
      <c r="O18" s="38"/>
      <c r="P18" s="41"/>
      <c r="Q18" s="32">
        <f>(P18+O18+N18)/3</f>
        <v>-1.0</v>
      </c>
    </row>
    <row r="19" spans="8:8">
      <c r="A19" s="53" t="s">
        <v>26</v>
      </c>
      <c r="B19" s="34">
        <f>480/24</f>
        <v>20.0</v>
      </c>
      <c r="C19" s="42"/>
      <c r="D19" s="34"/>
      <c r="E19" s="37">
        <f>(D19+C19+B19)/3</f>
        <v>6.666666666666667</v>
      </c>
      <c r="F19" s="41">
        <f>480/24</f>
        <v>20.0</v>
      </c>
      <c r="G19" s="43"/>
      <c r="H19" s="38"/>
      <c r="I19" s="37">
        <f>(H19+G19+F19)/3</f>
        <v>6.666666666666667</v>
      </c>
      <c r="J19" s="39"/>
      <c r="K19" s="39"/>
      <c r="L19" s="39"/>
      <c r="M19" s="40">
        <f>(L19+K19+J19)/3</f>
        <v>0.0</v>
      </c>
      <c r="N19" s="41"/>
      <c r="O19" s="38"/>
      <c r="P19" s="38"/>
      <c r="Q19" s="32">
        <f>(P19+O19+N19)/3</f>
        <v>0.0</v>
      </c>
    </row>
    <row r="20" spans="8:8">
      <c r="A20" s="44" t="s">
        <v>27</v>
      </c>
      <c r="B20" s="45">
        <v>1.12305E7</v>
      </c>
      <c r="C20" s="46">
        <v>6270000.0</v>
      </c>
      <c r="D20" s="45">
        <v>2636700.0</v>
      </c>
      <c r="E20" s="37">
        <f>(D20+C20+B20)/3</f>
        <v>6712400.0</v>
      </c>
      <c r="F20" s="45">
        <v>1.8258E7</v>
      </c>
      <c r="G20" s="45">
        <v>3135000.0</v>
      </c>
      <c r="H20" s="45">
        <v>1237500.0</v>
      </c>
      <c r="I20" s="37">
        <f>(H20+G20+F20)/3</f>
        <v>7543500.0</v>
      </c>
      <c r="J20" s="48">
        <v>7722000.0</v>
      </c>
      <c r="K20" s="48">
        <v>8349550.0</v>
      </c>
      <c r="L20" s="48">
        <v>313500.0</v>
      </c>
      <c r="M20" s="40">
        <f>(L20+K20+J20)/3</f>
        <v>5461683.333333333</v>
      </c>
      <c r="N20" s="48">
        <v>-40000.0</v>
      </c>
      <c r="O20" s="38">
        <v>2.71678E7</v>
      </c>
      <c r="P20" s="38">
        <v>1197350.0</v>
      </c>
      <c r="Q20" s="32">
        <f>(P20+O20+N20)/3</f>
        <v>9441716.666666666</v>
      </c>
    </row>
    <row r="21" spans="8:8">
      <c r="A21" s="49" t="s">
        <v>28</v>
      </c>
      <c r="B21" s="38">
        <v>2.0</v>
      </c>
      <c r="C21" s="38">
        <v>5.0</v>
      </c>
      <c r="D21" s="38">
        <v>1.0</v>
      </c>
      <c r="E21" s="37">
        <f>(D21+C21+B21)/3</f>
        <v>2.6666666666666665</v>
      </c>
      <c r="F21" s="38">
        <v>2.0</v>
      </c>
      <c r="G21" s="41"/>
      <c r="H21" s="38">
        <v>2.0</v>
      </c>
      <c r="I21" s="37">
        <f>(H21+G21+F21)/3</f>
        <v>1.3333333333333333</v>
      </c>
      <c r="J21" s="39">
        <v>10.0</v>
      </c>
      <c r="K21" s="39"/>
      <c r="L21" s="39">
        <v>1.0</v>
      </c>
      <c r="M21" s="40">
        <f>(L21+K21+J21)/3</f>
        <v>3.6666666666666665</v>
      </c>
      <c r="N21" s="41">
        <v>15.0</v>
      </c>
      <c r="O21" s="38">
        <v>-1.0</v>
      </c>
      <c r="P21" s="34"/>
      <c r="Q21" s="32">
        <f>(P21+O21+N21)/3</f>
        <v>4.666666666666667</v>
      </c>
    </row>
    <row r="22" spans="8:8">
      <c r="A22" s="44" t="s">
        <v>29</v>
      </c>
      <c r="B22" s="45">
        <v>180000.0</v>
      </c>
      <c r="C22" s="54">
        <v>450000.0</v>
      </c>
      <c r="D22" s="45">
        <v>90000.0</v>
      </c>
      <c r="E22" s="37">
        <f>(D22+C22+B22)/3</f>
        <v>240000.0</v>
      </c>
      <c r="F22" s="45">
        <v>180000.0</v>
      </c>
      <c r="G22" s="45"/>
      <c r="H22" s="45">
        <v>180000.0</v>
      </c>
      <c r="I22" s="37">
        <f>(H22+G22+F22)/3</f>
        <v>120000.0</v>
      </c>
      <c r="J22" s="48">
        <v>900000.0</v>
      </c>
      <c r="K22" s="48"/>
      <c r="L22" s="48">
        <v>90000.0</v>
      </c>
      <c r="M22" s="40">
        <f>(L22+K22+J22)/3</f>
        <v>330000.0</v>
      </c>
      <c r="N22" s="48">
        <v>1350000.0</v>
      </c>
      <c r="O22" s="45">
        <v>-1500.0</v>
      </c>
      <c r="P22" s="38"/>
      <c r="Q22" s="32">
        <f>(P22+O22+N22)/3</f>
        <v>449500.0</v>
      </c>
    </row>
    <row r="23" spans="8:8" ht="15.75">
      <c r="A23" s="55" t="s">
        <v>30</v>
      </c>
      <c r="B23" s="56">
        <f>SUM(B13,B20,B22)</f>
        <v>1.13907E7</v>
      </c>
      <c r="C23" s="57">
        <f>SUM(C13,C20,C22)</f>
        <v>1.95212E7</v>
      </c>
      <c r="D23" s="56">
        <f>SUM(D13,D20,D22)</f>
        <v>4065300.0</v>
      </c>
      <c r="E23" s="58">
        <f>(D23+C23+B23)/3</f>
        <v>1.1659066666666666E7</v>
      </c>
      <c r="F23" s="56">
        <f>SUM(F13,F20,F22)</f>
        <v>1.8438E7</v>
      </c>
      <c r="G23" s="56">
        <f>SUM(G13,G20,G22)</f>
        <v>2.20238E7</v>
      </c>
      <c r="H23" s="56">
        <f>SUM(H13,H20,H22)</f>
        <v>3793500.0</v>
      </c>
      <c r="I23" s="58">
        <f>(H23+G23+F23)/3</f>
        <v>1.4751766666666666E7</v>
      </c>
      <c r="J23" s="56">
        <f>SUM(J13,J20,J22)</f>
        <v>2.997E7</v>
      </c>
      <c r="K23" s="56">
        <f>SUM(K13,K20,K22)</f>
        <v>9785750.0</v>
      </c>
      <c r="L23" s="56">
        <f>SUM(L13,L20,L22)</f>
        <v>2383500.0</v>
      </c>
      <c r="M23" s="59">
        <f>(L23+K23+J23)/3</f>
        <v>1.4046416666666666E7</v>
      </c>
      <c r="N23" s="56">
        <f>SUM(N13,N20,N22)</f>
        <v>2.7518E7</v>
      </c>
      <c r="O23" s="56">
        <f>SUM(O13,O20,O22)</f>
        <v>4.30019E7</v>
      </c>
      <c r="P23" s="56">
        <f>SUM(P13,P20,P22)</f>
        <v>1795550.0</v>
      </c>
      <c r="Q23" s="32">
        <f>(P23+O23+N23)/3</f>
        <v>2.410515E7</v>
      </c>
    </row>
    <row r="27" spans="8:8">
      <c r="P27" s="1" t="s">
        <v>32</v>
      </c>
    </row>
    <row r="29" spans="8:8">
      <c r="M29" s="60"/>
    </row>
    <row r="30" spans="8:8">
      <c r="F30" s="1" t="s">
        <v>31</v>
      </c>
    </row>
    <row r="31" spans="8:8">
      <c r="O31" s="60"/>
    </row>
  </sheetData>
  <mergeCells count="18">
    <mergeCell ref="A3:A7"/>
    <mergeCell ref="I6:I7"/>
    <mergeCell ref="B5:E5"/>
    <mergeCell ref="F5:I5"/>
    <mergeCell ref="E6:E7"/>
    <mergeCell ref="B7:D7"/>
    <mergeCell ref="F7:H7"/>
    <mergeCell ref="B3:Q3"/>
    <mergeCell ref="F4:I4"/>
    <mergeCell ref="J4:M4"/>
    <mergeCell ref="N4:Q4"/>
    <mergeCell ref="J5:M5"/>
    <mergeCell ref="N5:Q5"/>
    <mergeCell ref="Q6:Q7"/>
    <mergeCell ref="M6:M7"/>
    <mergeCell ref="B4:E4"/>
    <mergeCell ref="J7:L7"/>
    <mergeCell ref="N7:P7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AB23"/>
  <sheetViews>
    <sheetView workbookViewId="0" topLeftCell="Q3">
      <selection activeCell="A1" sqref="A1"/>
    </sheetView>
  </sheetViews>
  <sheetFormatPr defaultRowHeight="15.0" defaultColWidth="10"/>
  <cols>
    <col min="1" max="1" customWidth="1" width="26.71875" style="1"/>
    <col min="2" max="2" customWidth="1" width="12.2890625" style="1"/>
    <col min="3" max="3" customWidth="1" width="12.2890625" style="1"/>
    <col min="4" max="4" customWidth="1" width="11.2890625" style="1"/>
    <col min="5" max="5" customWidth="1" width="12.2890625" style="1"/>
    <col min="6" max="6" customWidth="1" width="11.4296875" style="1"/>
    <col min="7" max="7" customWidth="1" width="12.2890625" style="1"/>
    <col min="8" max="8" customWidth="1" width="12.2890625" style="1"/>
    <col min="9" max="9" customWidth="1" width="11.2890625" style="1"/>
    <col min="10" max="10" customWidth="1" width="12.2890625" style="1"/>
    <col min="11" max="11" customWidth="1" width="12.2890625" style="1"/>
    <col min="12" max="12" customWidth="1" width="12.2890625" style="1"/>
    <col min="13" max="13" customWidth="1" width="12.2890625" style="1"/>
    <col min="14" max="14" customWidth="1" width="12.2890625" style="3"/>
    <col min="15" max="15" customWidth="1" width="12.2890625" style="1"/>
    <col min="16" max="16" customWidth="1" width="12.2890625" style="1"/>
    <col min="17" max="17" customWidth="1" width="12.2890625" style="1"/>
    <col min="18" max="18" customWidth="1" width="12.2890625" style="1"/>
    <col min="19" max="19" customWidth="1" width="15.71875" style="1"/>
    <col min="20" max="20" customWidth="1" width="15.71875" style="1"/>
    <col min="21" max="21" customWidth="1" width="15.71875" style="1"/>
    <col min="22" max="22" customWidth="1" width="17.003906" style="1"/>
    <col min="23" max="23" customWidth="1" width="17.003906" style="1"/>
    <col min="24" max="24" customWidth="1" width="17.003906" style="1"/>
    <col min="25" max="25" customWidth="1" width="18.429688" style="1"/>
    <col min="26" max="26" hidden="1" width="16.289062" style="1"/>
    <col min="27" max="27" customWidth="1" width="14.859375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2"/>
      <c r="P1" s="2"/>
    </row>
    <row r="2" spans="8:8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</row>
    <row r="3" spans="8:8" ht="15.75">
      <c r="A3" s="6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61"/>
      <c r="S3" s="62" t="s">
        <v>2</v>
      </c>
      <c r="T3" s="62" t="s">
        <v>3</v>
      </c>
      <c r="U3" s="63" t="s">
        <v>4</v>
      </c>
      <c r="V3" s="62" t="s">
        <v>2</v>
      </c>
      <c r="W3" s="62" t="s">
        <v>3</v>
      </c>
      <c r="X3" s="63" t="s">
        <v>5</v>
      </c>
      <c r="Y3" s="62" t="s">
        <v>2</v>
      </c>
      <c r="Z3" s="62" t="s">
        <v>3</v>
      </c>
      <c r="AA3" s="62" t="s">
        <v>3</v>
      </c>
    </row>
    <row r="4" spans="8:8">
      <c r="A4" s="10"/>
      <c r="B4" s="11" t="s">
        <v>6</v>
      </c>
      <c r="C4" s="12"/>
      <c r="D4" s="12"/>
      <c r="E4" s="13"/>
      <c r="F4" s="11" t="s">
        <v>6</v>
      </c>
      <c r="G4" s="12"/>
      <c r="H4" s="12"/>
      <c r="I4" s="13"/>
      <c r="J4" s="11" t="s">
        <v>7</v>
      </c>
      <c r="K4" s="12"/>
      <c r="L4" s="12"/>
      <c r="M4" s="13"/>
      <c r="N4" s="11" t="s">
        <v>7</v>
      </c>
      <c r="O4" s="12"/>
      <c r="P4" s="12"/>
      <c r="Q4" s="13"/>
      <c r="R4" s="64"/>
      <c r="S4" s="65"/>
      <c r="T4" s="65"/>
      <c r="U4" s="66"/>
      <c r="V4" s="65"/>
      <c r="W4" s="65"/>
      <c r="X4" s="66"/>
      <c r="Y4" s="65"/>
      <c r="Z4" s="65"/>
      <c r="AA4" s="65"/>
    </row>
    <row r="5" spans="8:8" ht="15.75">
      <c r="A5" s="10"/>
      <c r="B5" s="14" t="s">
        <v>8</v>
      </c>
      <c r="C5" s="15"/>
      <c r="D5" s="15"/>
      <c r="E5" s="16"/>
      <c r="F5" s="14" t="s">
        <v>9</v>
      </c>
      <c r="G5" s="15"/>
      <c r="H5" s="15"/>
      <c r="I5" s="16"/>
      <c r="J5" s="14" t="s">
        <v>10</v>
      </c>
      <c r="K5" s="15"/>
      <c r="L5" s="15"/>
      <c r="M5" s="16"/>
      <c r="N5" s="14" t="s">
        <v>11</v>
      </c>
      <c r="O5" s="15"/>
      <c r="P5" s="15"/>
      <c r="Q5" s="16"/>
      <c r="R5" s="64" t="s">
        <v>12</v>
      </c>
      <c r="S5" s="65"/>
      <c r="T5" s="65"/>
      <c r="U5" s="66"/>
      <c r="V5" s="65"/>
      <c r="W5" s="65"/>
      <c r="X5" s="66"/>
      <c r="Y5" s="65"/>
      <c r="Z5" s="65"/>
      <c r="AA5" s="65"/>
    </row>
    <row r="6" spans="8:8" ht="15.75">
      <c r="A6" s="10"/>
      <c r="B6" s="17">
        <v>43647.0</v>
      </c>
      <c r="C6" s="17">
        <v>43678.0</v>
      </c>
      <c r="D6" s="17">
        <v>43709.0</v>
      </c>
      <c r="E6" s="18" t="s">
        <v>13</v>
      </c>
      <c r="F6" s="17">
        <v>43647.0</v>
      </c>
      <c r="G6" s="17">
        <v>43678.0</v>
      </c>
      <c r="H6" s="17">
        <v>43709.0</v>
      </c>
      <c r="I6" s="18" t="s">
        <v>13</v>
      </c>
      <c r="J6" s="17">
        <v>43647.0</v>
      </c>
      <c r="K6" s="17">
        <v>43678.0</v>
      </c>
      <c r="L6" s="17">
        <v>43709.0</v>
      </c>
      <c r="M6" s="18" t="s">
        <v>13</v>
      </c>
      <c r="N6" s="17">
        <v>43647.0</v>
      </c>
      <c r="O6" s="17">
        <v>43678.0</v>
      </c>
      <c r="P6" s="17">
        <v>43709.0</v>
      </c>
      <c r="Q6" s="18" t="s">
        <v>13</v>
      </c>
      <c r="R6" s="67"/>
      <c r="S6" s="65"/>
      <c r="T6" s="65"/>
      <c r="U6" s="66"/>
      <c r="V6" s="65"/>
      <c r="W6" s="65"/>
      <c r="X6" s="66"/>
      <c r="Y6" s="65"/>
      <c r="Z6" s="65"/>
      <c r="AA6" s="65"/>
    </row>
    <row r="7" spans="8:8" ht="15.75">
      <c r="A7" s="10"/>
      <c r="B7" s="19" t="s">
        <v>14</v>
      </c>
      <c r="C7" s="20"/>
      <c r="D7" s="21"/>
      <c r="E7" s="22"/>
      <c r="F7" s="19" t="s">
        <v>14</v>
      </c>
      <c r="G7" s="20"/>
      <c r="H7" s="21"/>
      <c r="I7" s="22"/>
      <c r="J7" s="19" t="s">
        <v>14</v>
      </c>
      <c r="K7" s="20"/>
      <c r="L7" s="21"/>
      <c r="M7" s="22"/>
      <c r="N7" s="19" t="s">
        <v>14</v>
      </c>
      <c r="O7" s="20"/>
      <c r="P7" s="21"/>
      <c r="Q7" s="22"/>
      <c r="R7" s="67"/>
      <c r="S7" s="68"/>
      <c r="T7" s="65"/>
      <c r="U7" s="69"/>
      <c r="V7" s="68"/>
      <c r="W7" s="65"/>
      <c r="X7" s="69"/>
      <c r="Y7" s="68"/>
      <c r="Z7" s="65"/>
      <c r="AA7" s="65"/>
    </row>
    <row r="8" spans="8:8">
      <c r="A8" s="24" t="s">
        <v>15</v>
      </c>
      <c r="B8" s="25">
        <v>12.5</v>
      </c>
      <c r="C8" s="26">
        <f>100/10</f>
        <v>10.0</v>
      </c>
      <c r="D8" s="25"/>
      <c r="E8" s="28">
        <f>(D8+C8+B8)/3</f>
        <v>7.5</v>
      </c>
      <c r="F8" s="25">
        <f>70/10</f>
        <v>7.0</v>
      </c>
      <c r="G8" s="29">
        <f>50/10</f>
        <v>5.0</v>
      </c>
      <c r="H8" s="25">
        <f>35/10</f>
        <v>3.5</v>
      </c>
      <c r="I8" s="28">
        <f>(F8+G8+H8)/3</f>
        <v>5.166666666666667</v>
      </c>
      <c r="J8" s="25">
        <v>-1.0</v>
      </c>
      <c r="K8" s="29">
        <f>36/10</f>
        <v>3.6</v>
      </c>
      <c r="L8" s="30"/>
      <c r="M8" s="31">
        <f>(L8+K8+J8)/3</f>
        <v>0.8666666666666667</v>
      </c>
      <c r="N8" s="25"/>
      <c r="O8" s="29">
        <f>50/5</f>
        <v>10.0</v>
      </c>
      <c r="P8" s="25">
        <f>50/10</f>
        <v>5.0</v>
      </c>
      <c r="Q8" s="70">
        <f>(P8+O8+N8)/3</f>
        <v>5.0</v>
      </c>
      <c r="R8" s="71">
        <v>19.6</v>
      </c>
      <c r="S8" s="72">
        <f>N8+J8+F8+B8</f>
        <v>18.5</v>
      </c>
      <c r="T8" s="73">
        <f>S8/R8</f>
        <v>0.943877551020408</v>
      </c>
      <c r="U8" s="74">
        <v>40.0</v>
      </c>
      <c r="V8" s="72">
        <f>B8+C8+F8+G8+H8+J8+K8+O8+P8</f>
        <v>55.6</v>
      </c>
      <c r="W8" s="73">
        <f>V8/U8</f>
        <v>1.3900000000000001</v>
      </c>
      <c r="X8" s="75">
        <v>15.0</v>
      </c>
      <c r="Y8" s="76">
        <f>P8+L8+H8+D8</f>
        <v>8.5</v>
      </c>
      <c r="Z8" s="77">
        <f>(Y8+V8+S8)/3</f>
        <v>27.53333333333333</v>
      </c>
      <c r="AA8" s="73">
        <f>Y8/X8</f>
        <v>0.5666666666666667</v>
      </c>
    </row>
    <row r="9" spans="8:8">
      <c r="A9" s="33" t="s">
        <v>16</v>
      </c>
      <c r="B9" s="38">
        <v>1.0</v>
      </c>
      <c r="C9" s="35"/>
      <c r="D9" s="38"/>
      <c r="E9" s="37">
        <f>(D9+C9+B9)/3</f>
        <v>0.3333333333333333</v>
      </c>
      <c r="F9" s="38"/>
      <c r="G9" s="38">
        <v>-1.0</v>
      </c>
      <c r="H9" s="38"/>
      <c r="I9" s="37">
        <f>(H9+G9+F9)/3</f>
        <v>-0.3333333333333333</v>
      </c>
      <c r="J9" s="39"/>
      <c r="K9" s="39"/>
      <c r="L9" s="39"/>
      <c r="M9" s="40">
        <f>(L9+K9+J9)/3</f>
        <v>0.0</v>
      </c>
      <c r="N9" s="41">
        <f>12/12</f>
        <v>1.0</v>
      </c>
      <c r="O9" s="38">
        <f>36/12</f>
        <v>3.0</v>
      </c>
      <c r="P9" s="38">
        <f>12/12</f>
        <v>1.0</v>
      </c>
      <c r="Q9" s="78">
        <f>(P9+O9+N9)/3</f>
        <v>1.6666666666666667</v>
      </c>
      <c r="R9" s="79">
        <v>-0.25</v>
      </c>
      <c r="S9" s="80">
        <f>N9+J9+F9+B9</f>
        <v>2.0</v>
      </c>
      <c r="T9" s="81">
        <f>S9/R9</f>
        <v>-8.0</v>
      </c>
      <c r="U9" s="82">
        <v>0.0</v>
      </c>
      <c r="V9" s="80">
        <f>O9+K9+G9+C9</f>
        <v>2.0</v>
      </c>
      <c r="W9" s="81" t="e">
        <f>V9/U9</f>
        <v>#DIV/0!</v>
      </c>
      <c r="X9" s="83">
        <v>0.0</v>
      </c>
      <c r="Y9" s="84">
        <f>P9+L9+H9+D9</f>
        <v>1.0</v>
      </c>
      <c r="Z9" s="85">
        <f>(Y9+V9+S9)/3</f>
        <v>1.6666666666666667</v>
      </c>
      <c r="AA9" s="81" t="e">
        <f>Y9/X9</f>
        <v>#DIV/0!</v>
      </c>
    </row>
    <row r="10" spans="8:8">
      <c r="A10" s="33" t="s">
        <v>17</v>
      </c>
      <c r="B10" s="38">
        <v>10.0</v>
      </c>
      <c r="C10" s="35">
        <f>180/12</f>
        <v>15.0</v>
      </c>
      <c r="D10" s="38"/>
      <c r="E10" s="37">
        <f>(D10+C10+B10)/3</f>
        <v>8.333333333333334</v>
      </c>
      <c r="F10" s="41">
        <f>96/12</f>
        <v>8.0</v>
      </c>
      <c r="G10" s="38">
        <f>59/12</f>
        <v>4.916666666666667</v>
      </c>
      <c r="H10" s="38">
        <f>71/12</f>
        <v>5.916666666666667</v>
      </c>
      <c r="I10" s="37">
        <f>(H10+G10+F10)/3</f>
        <v>6.277777777777779</v>
      </c>
      <c r="J10" s="38"/>
      <c r="K10" s="41">
        <f>120/12</f>
        <v>10.0</v>
      </c>
      <c r="L10" s="39">
        <f>60/12</f>
        <v>5.0</v>
      </c>
      <c r="M10" s="40">
        <f>(L10+K10+J10)/3</f>
        <v>5.0</v>
      </c>
      <c r="N10" s="38">
        <f>240/12</f>
        <v>20.0</v>
      </c>
      <c r="O10" s="41">
        <f>180/12</f>
        <v>15.0</v>
      </c>
      <c r="P10" s="38">
        <f>60/12</f>
        <v>5.0</v>
      </c>
      <c r="Q10" s="78">
        <f>(P10+O10+N10)/3</f>
        <v>13.333333333333334</v>
      </c>
      <c r="R10" s="79">
        <v>50.5833333333333</v>
      </c>
      <c r="S10" s="80">
        <f>N10+J10+F10+B10</f>
        <v>38.0</v>
      </c>
      <c r="T10" s="81">
        <f>S10/R10</f>
        <v>0.7512355848434931</v>
      </c>
      <c r="U10" s="82">
        <v>57.0</v>
      </c>
      <c r="V10" s="80">
        <f>O10+K10+G10+C10</f>
        <v>44.9166666666667</v>
      </c>
      <c r="W10" s="81">
        <f>V10/U10</f>
        <v>0.7880116959064334</v>
      </c>
      <c r="X10" s="83">
        <v>23.0</v>
      </c>
      <c r="Y10" s="84">
        <f>P10+L10+H10+D10</f>
        <v>15.9166666666667</v>
      </c>
      <c r="Z10" s="85">
        <f>(Y10+V10+S10)/3</f>
        <v>32.944444444444464</v>
      </c>
      <c r="AA10" s="81">
        <f>Y10/X10</f>
        <v>0.6920289855072478</v>
      </c>
    </row>
    <row r="11" spans="8:8">
      <c r="A11" s="33" t="s">
        <v>18</v>
      </c>
      <c r="B11" s="38">
        <v>1.0</v>
      </c>
      <c r="C11" s="35">
        <f>24/12</f>
        <v>2.0</v>
      </c>
      <c r="D11" s="38"/>
      <c r="E11" s="37">
        <f>(D11+C11+B11)/3</f>
        <v>1.0</v>
      </c>
      <c r="F11" s="38">
        <f>24/12</f>
        <v>2.0</v>
      </c>
      <c r="G11" s="38"/>
      <c r="H11" s="38">
        <f>6/12</f>
        <v>0.5</v>
      </c>
      <c r="I11" s="37">
        <f>(H11+G11+F11)/3</f>
        <v>0.8333333333333334</v>
      </c>
      <c r="J11" s="39"/>
      <c r="K11" s="39"/>
      <c r="L11" s="39"/>
      <c r="M11" s="40">
        <f>(L11+K11+J11)/3</f>
        <v>0.0</v>
      </c>
      <c r="N11" s="41">
        <f>24/12</f>
        <v>2.0</v>
      </c>
      <c r="O11" s="41">
        <f>24/12</f>
        <v>2.0</v>
      </c>
      <c r="P11" s="38"/>
      <c r="Q11" s="78">
        <f>(P11+O11+N11)/3</f>
        <v>1.3333333333333333</v>
      </c>
      <c r="R11" s="79">
        <v>0.0</v>
      </c>
      <c r="S11" s="80">
        <f>N11+J11+F11+B11</f>
        <v>5.0</v>
      </c>
      <c r="T11" s="81" t="e">
        <f>S11/R11</f>
        <v>#DIV/0!</v>
      </c>
      <c r="U11" s="82">
        <v>0.0</v>
      </c>
      <c r="V11" s="80">
        <f>O11+K11+G11+C11</f>
        <v>4.0</v>
      </c>
      <c r="W11" s="81" t="e">
        <f>V11/U11</f>
        <v>#DIV/0!</v>
      </c>
      <c r="X11" s="83">
        <v>0.0</v>
      </c>
      <c r="Y11" s="84">
        <f>P11+L11+H11+D11</f>
        <v>0.5</v>
      </c>
      <c r="Z11" s="85">
        <f>(Y11+V11+S11)/3</f>
        <v>3.1666666666666665</v>
      </c>
      <c r="AA11" s="81" t="e">
        <f>Y11/X11</f>
        <v>#DIV/0!</v>
      </c>
    </row>
    <row r="12" spans="8:8">
      <c r="A12" s="33" t="s">
        <v>19</v>
      </c>
      <c r="B12" s="38">
        <v>37.0</v>
      </c>
      <c r="C12" s="35">
        <f>3058/36</f>
        <v>84.94444444444444</v>
      </c>
      <c r="D12" s="38">
        <v>-1.0</v>
      </c>
      <c r="E12" s="37">
        <f>(D12+C12+B12)/3</f>
        <v>40.31481481481482</v>
      </c>
      <c r="F12" s="38">
        <f>768/36</f>
        <v>21.333333333333332</v>
      </c>
      <c r="G12" s="41">
        <f>2515/36</f>
        <v>69.86111111111111</v>
      </c>
      <c r="H12" s="38">
        <f>1182/36</f>
        <v>32.833333333333336</v>
      </c>
      <c r="I12" s="37">
        <f>(H12+G12+F12)/3</f>
        <v>41.342592592592595</v>
      </c>
      <c r="J12" s="38">
        <f>1970/36</f>
        <v>54.72222222222222</v>
      </c>
      <c r="K12" s="41">
        <f>5385/36</f>
        <v>149.58333333333334</v>
      </c>
      <c r="L12" s="41">
        <f>3599/36</f>
        <v>99.97222222222223</v>
      </c>
      <c r="M12" s="40">
        <f>(L12+K12+J12)/3</f>
        <v>101.42592592592592</v>
      </c>
      <c r="N12" s="38">
        <f>2684/36</f>
        <v>74.55555555555556</v>
      </c>
      <c r="O12" s="41">
        <f>6240/36</f>
        <v>173.33333333333334</v>
      </c>
      <c r="P12" s="41">
        <f>4496/36</f>
        <v>124.88888888888889</v>
      </c>
      <c r="Q12" s="78">
        <f>(P12+O12+N12)/3</f>
        <v>124.25925925925925</v>
      </c>
      <c r="R12" s="79">
        <v>115.027777777778</v>
      </c>
      <c r="S12" s="80">
        <f>N12+J12+F12+B12</f>
        <v>187.611111111111</v>
      </c>
      <c r="T12" s="81">
        <f>S12/R12</f>
        <v>1.6310070031393342</v>
      </c>
      <c r="U12" s="82">
        <v>293.972222222222</v>
      </c>
      <c r="V12" s="80">
        <f>O12+K12+G12+C12</f>
        <v>477.7222222222224</v>
      </c>
      <c r="W12" s="81">
        <f>V12/U12</f>
        <v>1.6250590569781744</v>
      </c>
      <c r="X12" s="83">
        <v>319.722222222222</v>
      </c>
      <c r="Y12" s="84">
        <f>P12+L12+H12+D12</f>
        <v>256.694444444444</v>
      </c>
      <c r="Z12" s="85">
        <f>(Y12+V12+S12)/3</f>
        <v>307.34259259259244</v>
      </c>
      <c r="AA12" s="81">
        <f>Y12/X12</f>
        <v>0.8028670721112068</v>
      </c>
    </row>
    <row r="13" spans="8:8">
      <c r="A13" s="44" t="s">
        <v>20</v>
      </c>
      <c r="B13" s="45">
        <f>360000+875000+756000+324000+2930400</f>
        <v>5245400.0</v>
      </c>
      <c r="C13" s="46">
        <f>700000+1134000+648000+6727600</f>
        <v>9209600.0</v>
      </c>
      <c r="D13" s="45">
        <v>-2200.0</v>
      </c>
      <c r="E13" s="37">
        <f>(D13+C13+B13)/3</f>
        <v>4817600.0</v>
      </c>
      <c r="F13" s="45">
        <f>490000+604800+648000+1689600</f>
        <v>3432400.0</v>
      </c>
      <c r="G13" s="47">
        <f>350000+371700+5533000-30000</f>
        <v>6224700.0</v>
      </c>
      <c r="H13" s="45">
        <f>245000+162000+447300+2600400</f>
        <v>3454700.0</v>
      </c>
      <c r="I13" s="37">
        <f>(H13+G13+F13)/3</f>
        <v>4370600.0</v>
      </c>
      <c r="J13" s="48">
        <v>4327000.0</v>
      </c>
      <c r="K13" s="48">
        <v>1.3303E7</v>
      </c>
      <c r="L13" s="48">
        <v>8295800.0</v>
      </c>
      <c r="M13" s="40">
        <f>(L13+K13+J13)/3</f>
        <v>8641933.333333334</v>
      </c>
      <c r="N13" s="48">
        <v>8424800.0</v>
      </c>
      <c r="O13" s="38">
        <v>1.694E7</v>
      </c>
      <c r="P13" s="38">
        <v>1.09792E7</v>
      </c>
      <c r="Q13" s="78">
        <f>(P13+O13+N13)/3</f>
        <v>1.2114666666666666E7</v>
      </c>
      <c r="R13" s="79">
        <v>1.42163E7</v>
      </c>
      <c r="S13" s="80">
        <f>N13+J13+F13+B13</f>
        <v>2.14296E7</v>
      </c>
      <c r="T13" s="81">
        <f>S13/R13</f>
        <v>1.5073964392985517</v>
      </c>
      <c r="U13" s="82">
        <v>3.03918E7</v>
      </c>
      <c r="V13" s="80">
        <f>O13+K13+G13+C13</f>
        <v>4.56773E7</v>
      </c>
      <c r="W13" s="81">
        <f>V13/U13</f>
        <v>1.5029481636494055</v>
      </c>
      <c r="X13" s="83">
        <v>2.81108E7</v>
      </c>
      <c r="Y13" s="84">
        <f>P13+L13+H13+D13</f>
        <v>2.27275E7</v>
      </c>
      <c r="Z13" s="85">
        <f>(Y13+V13+S13)/3</f>
        <v>2.99448E7</v>
      </c>
      <c r="AA13" s="81">
        <f>Y13/X13</f>
        <v>0.8084970900863725</v>
      </c>
    </row>
    <row r="14" spans="8:8">
      <c r="A14" s="49" t="s">
        <v>21</v>
      </c>
      <c r="B14" s="38">
        <v>-1.0</v>
      </c>
      <c r="C14" s="35">
        <f>119/24</f>
        <v>4.958333333333333</v>
      </c>
      <c r="D14" s="38">
        <f>48/24</f>
        <v>2.0</v>
      </c>
      <c r="E14" s="37">
        <f>(D14+C14+B14)/3</f>
        <v>1.986111111111111</v>
      </c>
      <c r="F14" s="41">
        <f>120/24</f>
        <v>5.0</v>
      </c>
      <c r="G14" s="41">
        <f>239/24</f>
        <v>9.958333333333334</v>
      </c>
      <c r="H14" s="38">
        <f>120/24</f>
        <v>5.0</v>
      </c>
      <c r="I14" s="37">
        <f>(H14+G14+F14)/3</f>
        <v>6.652777777777779</v>
      </c>
      <c r="J14" s="38">
        <f>72/24</f>
        <v>3.0</v>
      </c>
      <c r="K14" s="41"/>
      <c r="L14" s="41"/>
      <c r="M14" s="40">
        <f>(L14+K14+J14)/3</f>
        <v>1.0</v>
      </c>
      <c r="N14" s="38">
        <f>216/24</f>
        <v>9.0</v>
      </c>
      <c r="O14" s="41">
        <f>24/24</f>
        <v>1.0</v>
      </c>
      <c r="P14" s="41">
        <f>240/24</f>
        <v>10.0</v>
      </c>
      <c r="Q14" s="78">
        <f>(P14+O14+N14)/3</f>
        <v>6.666666666666667</v>
      </c>
      <c r="R14" s="79">
        <v>30.75</v>
      </c>
      <c r="S14" s="80">
        <f>N14+J14+F14+B14</f>
        <v>16.0</v>
      </c>
      <c r="T14" s="81">
        <f>S14/R14</f>
        <v>0.5203252032520326</v>
      </c>
      <c r="U14" s="82">
        <v>25.6666666666667</v>
      </c>
      <c r="V14" s="80">
        <f>O14+K14+G14+C14</f>
        <v>15.91666666666663</v>
      </c>
      <c r="W14" s="81">
        <f>V14/U14</f>
        <v>0.6201298701298679</v>
      </c>
      <c r="X14" s="83">
        <v>42.6666666666667</v>
      </c>
      <c r="Y14" s="84">
        <f>P14+L14+H14+D14</f>
        <v>17.0</v>
      </c>
      <c r="Z14" s="85">
        <f>(Y14+V14+S14)/3</f>
        <v>16.305555555555543</v>
      </c>
      <c r="AA14" s="81">
        <f>Y14/X14</f>
        <v>0.39843749999999967</v>
      </c>
    </row>
    <row r="15" spans="8:8">
      <c r="A15" s="49" t="s">
        <v>22</v>
      </c>
      <c r="B15" s="38">
        <v>10.0</v>
      </c>
      <c r="C15" s="35">
        <f>96/12</f>
        <v>8.0</v>
      </c>
      <c r="D15" s="38">
        <f>36/12</f>
        <v>3.0</v>
      </c>
      <c r="E15" s="37">
        <f>(D15+C15+B15)/3</f>
        <v>7.0</v>
      </c>
      <c r="F15" s="41">
        <f>180/12</f>
        <v>15.0</v>
      </c>
      <c r="G15" s="38">
        <f>36/12</f>
        <v>3.0</v>
      </c>
      <c r="H15" s="38">
        <f>156/12</f>
        <v>13.0</v>
      </c>
      <c r="I15" s="37">
        <f>(H15+G15+F15)/3</f>
        <v>10.333333333333334</v>
      </c>
      <c r="J15" s="38">
        <f>48/12</f>
        <v>4.0</v>
      </c>
      <c r="K15" s="39">
        <f>156/12</f>
        <v>13.0</v>
      </c>
      <c r="L15" s="39"/>
      <c r="M15" s="40">
        <f>(L15+K15+J15)/3</f>
        <v>5.666666666666667</v>
      </c>
      <c r="N15" s="38">
        <f>240/12</f>
        <v>20.0</v>
      </c>
      <c r="O15" s="41">
        <f>130/12</f>
        <v>10.833333333333334</v>
      </c>
      <c r="P15" s="41">
        <f>384/12</f>
        <v>32.0</v>
      </c>
      <c r="Q15" s="78">
        <f>(P15+O15+N15)/3</f>
        <v>20.944444444444446</v>
      </c>
      <c r="R15" s="79">
        <v>10.0416666666667</v>
      </c>
      <c r="S15" s="80">
        <f>N15+J15+F15+B15</f>
        <v>49.0</v>
      </c>
      <c r="T15" s="81">
        <f>S15/R15</f>
        <v>4.879668049792515</v>
      </c>
      <c r="U15" s="82">
        <v>9.45833333333333</v>
      </c>
      <c r="V15" s="80">
        <f>O15+K15+G15+C15</f>
        <v>34.8333333333333</v>
      </c>
      <c r="W15" s="81">
        <f>V15/U15</f>
        <v>3.6828193832599094</v>
      </c>
      <c r="X15" s="83">
        <v>6.5</v>
      </c>
      <c r="Y15" s="84">
        <f>P15+L15+H15+D15</f>
        <v>48.0</v>
      </c>
      <c r="Z15" s="85">
        <f>(Y15+V15+S15)/3</f>
        <v>43.944444444444436</v>
      </c>
      <c r="AA15" s="81">
        <f>Y15/X15</f>
        <v>7.384615384615385</v>
      </c>
    </row>
    <row r="16" spans="8:8">
      <c r="A16" s="49" t="s">
        <v>23</v>
      </c>
      <c r="B16" s="38">
        <f>106/6</f>
        <v>17.666666666666668</v>
      </c>
      <c r="C16" s="35">
        <f>76/6</f>
        <v>12.666666666666666</v>
      </c>
      <c r="D16" s="38">
        <f>36/6</f>
        <v>6.0</v>
      </c>
      <c r="E16" s="37">
        <f>(D16+C16+B16)/3</f>
        <v>12.111111111111109</v>
      </c>
      <c r="F16" s="41">
        <f>120/6</f>
        <v>20.0</v>
      </c>
      <c r="G16" s="41">
        <f>101/6</f>
        <v>16.833333333333332</v>
      </c>
      <c r="H16" s="38">
        <f>84/6</f>
        <v>14.0</v>
      </c>
      <c r="I16" s="37">
        <f>(H16+G16+F16)/3</f>
        <v>16.944444444444443</v>
      </c>
      <c r="J16" s="38">
        <f>90/6</f>
        <v>15.0</v>
      </c>
      <c r="K16" s="41">
        <f>120/6</f>
        <v>20.0</v>
      </c>
      <c r="L16" s="41">
        <f>120/6</f>
        <v>20.0</v>
      </c>
      <c r="M16" s="40">
        <f>(L16+K16+J16)/3</f>
        <v>18.333333333333332</v>
      </c>
      <c r="N16" s="38">
        <f>120/6</f>
        <v>20.0</v>
      </c>
      <c r="O16" s="41">
        <f>59/6</f>
        <v>9.833333333333334</v>
      </c>
      <c r="P16" s="41">
        <f>60/6</f>
        <v>10.0</v>
      </c>
      <c r="Q16" s="78">
        <f>(P16+O16+N16)/3</f>
        <v>13.277777777777779</v>
      </c>
      <c r="R16" s="79">
        <v>5.16666666666667</v>
      </c>
      <c r="S16" s="80">
        <f>N16+J16+F16+B16</f>
        <v>72.6666666666667</v>
      </c>
      <c r="T16" s="81">
        <f>S16/R16</f>
        <v>14.064516129032256</v>
      </c>
      <c r="U16" s="82">
        <v>76.8333333333333</v>
      </c>
      <c r="V16" s="80">
        <f>O16+K16+G16+C16</f>
        <v>59.3333333333334</v>
      </c>
      <c r="W16" s="81">
        <f>V16/U16</f>
        <v>0.7722342733188732</v>
      </c>
      <c r="X16" s="83">
        <v>73.0</v>
      </c>
      <c r="Y16" s="84">
        <f>P16+L16+H16+D16</f>
        <v>50.0</v>
      </c>
      <c r="Z16" s="85">
        <f>(Y16+V16+S16)/3</f>
        <v>60.66666666666671</v>
      </c>
      <c r="AA16" s="81">
        <f>Y16/X16</f>
        <v>0.684931506849315</v>
      </c>
    </row>
    <row r="17" spans="8:8">
      <c r="A17" s="49" t="s">
        <v>24</v>
      </c>
      <c r="B17" s="38">
        <f>59/6</f>
        <v>9.833333333333334</v>
      </c>
      <c r="C17" s="35">
        <f>48/6</f>
        <v>8.0</v>
      </c>
      <c r="D17" s="38">
        <f>36/6</f>
        <v>6.0</v>
      </c>
      <c r="E17" s="37">
        <f>(D17+C17+B17)/3</f>
        <v>7.9444444444444455</v>
      </c>
      <c r="F17" s="41">
        <f>84/6</f>
        <v>14.0</v>
      </c>
      <c r="G17" s="41">
        <f>54/6</f>
        <v>9.0</v>
      </c>
      <c r="H17" s="38">
        <f>60/6</f>
        <v>10.0</v>
      </c>
      <c r="I17" s="37">
        <f>(H17+G17+F17)/3</f>
        <v>11.0</v>
      </c>
      <c r="J17" s="38"/>
      <c r="K17" s="41">
        <f>107/6</f>
        <v>17.833333333333332</v>
      </c>
      <c r="L17" s="39">
        <f>120/6</f>
        <v>20.0</v>
      </c>
      <c r="M17" s="40">
        <f>(L17+K17+J17)/3</f>
        <v>12.611111111111109</v>
      </c>
      <c r="N17" s="38">
        <f>119/6</f>
        <v>19.833333333333332</v>
      </c>
      <c r="O17" s="41">
        <f>90/6</f>
        <v>15.0</v>
      </c>
      <c r="P17" s="41">
        <f>174/6</f>
        <v>29.0</v>
      </c>
      <c r="Q17" s="78">
        <f>(P17+O17+N17)/3</f>
        <v>21.277777777777775</v>
      </c>
      <c r="R17" s="79">
        <v>2.83333333333333</v>
      </c>
      <c r="S17" s="80">
        <f>N17+J17+F17+B17</f>
        <v>43.66666666666663</v>
      </c>
      <c r="T17" s="81">
        <f>S17/R17</f>
        <v>15.411764705882359</v>
      </c>
      <c r="U17" s="82">
        <v>69.5</v>
      </c>
      <c r="V17" s="80">
        <f>O17+K17+G17+C17</f>
        <v>49.8333333333333</v>
      </c>
      <c r="W17" s="81">
        <f>V17/U17</f>
        <v>0.717026378896882</v>
      </c>
      <c r="X17" s="83">
        <v>55.0</v>
      </c>
      <c r="Y17" s="84">
        <f>P17+L17+H17+D17</f>
        <v>65.0</v>
      </c>
      <c r="Z17" s="85">
        <f>(Y17+V17+S17)/3</f>
        <v>52.833333333333314</v>
      </c>
      <c r="AA17" s="81">
        <f>Y17/X17</f>
        <v>1.1818181818181819</v>
      </c>
    </row>
    <row r="18" spans="8:8">
      <c r="A18" s="49" t="s">
        <v>25</v>
      </c>
      <c r="B18" s="38">
        <f>58/6</f>
        <v>9.666666666666666</v>
      </c>
      <c r="C18" s="35"/>
      <c r="D18" s="38">
        <f>24/6</f>
        <v>4.0</v>
      </c>
      <c r="E18" s="37">
        <f>(D18+C18+B18)/3</f>
        <v>4.555555555555555</v>
      </c>
      <c r="F18" s="41">
        <f>30/6</f>
        <v>5.0</v>
      </c>
      <c r="G18" s="41">
        <f>24/6</f>
        <v>4.0</v>
      </c>
      <c r="H18" s="38">
        <f>36/6</f>
        <v>6.0</v>
      </c>
      <c r="I18" s="37">
        <f>(H18+G18+F18)/3</f>
        <v>5.0</v>
      </c>
      <c r="J18" s="38">
        <f>30/6</f>
        <v>5.0</v>
      </c>
      <c r="K18" s="41">
        <f>12/6</f>
        <v>2.0</v>
      </c>
      <c r="L18" s="41">
        <f>12/6</f>
        <v>2.0</v>
      </c>
      <c r="M18" s="40">
        <f>(L18+K18+J18)/3</f>
        <v>3.0</v>
      </c>
      <c r="N18" s="38">
        <f>150/6</f>
        <v>25.0</v>
      </c>
      <c r="O18" s="38">
        <f>90/6</f>
        <v>15.0</v>
      </c>
      <c r="P18" s="41">
        <f>60/6</f>
        <v>10.0</v>
      </c>
      <c r="Q18" s="78">
        <f>(P18+O18+N18)/3</f>
        <v>16.666666666666668</v>
      </c>
      <c r="R18" s="79">
        <v>-0.500000000000002</v>
      </c>
      <c r="S18" s="80">
        <f>N18+J18+F18+B18</f>
        <v>44.66666666666667</v>
      </c>
      <c r="T18" s="81">
        <f>S18/R18</f>
        <v>-89.33333333333299</v>
      </c>
      <c r="U18" s="82">
        <v>31.5</v>
      </c>
      <c r="V18" s="80">
        <f>O18+K18+G18+C18</f>
        <v>21.0</v>
      </c>
      <c r="W18" s="81">
        <f>V18/U18</f>
        <v>0.6666666666666666</v>
      </c>
      <c r="X18" s="83">
        <v>32.0</v>
      </c>
      <c r="Y18" s="84">
        <f>P18+L18+H18+D18</f>
        <v>22.0</v>
      </c>
      <c r="Z18" s="85">
        <f>(Y18+V18+S18)/3</f>
        <v>29.222222222222225</v>
      </c>
      <c r="AA18" s="81">
        <f>Y18/X18</f>
        <v>0.6875</v>
      </c>
    </row>
    <row r="19" spans="8:8">
      <c r="A19" s="53" t="s">
        <v>26</v>
      </c>
      <c r="B19" s="38">
        <f>239/24</f>
        <v>9.958333333333334</v>
      </c>
      <c r="C19" s="35">
        <f>119/24</f>
        <v>4.958333333333333</v>
      </c>
      <c r="D19" s="38">
        <f>48/24</f>
        <v>2.0</v>
      </c>
      <c r="E19" s="37">
        <f>(D19+C19+B19)/3</f>
        <v>5.638888888888889</v>
      </c>
      <c r="F19" s="41">
        <f>240/24</f>
        <v>10.0</v>
      </c>
      <c r="G19" s="41">
        <f>120/24</f>
        <v>5.0</v>
      </c>
      <c r="H19" s="38">
        <f>192/24</f>
        <v>8.0</v>
      </c>
      <c r="I19" s="37">
        <f>(H19+G19+F19)/3</f>
        <v>7.666666666666667</v>
      </c>
      <c r="J19" s="39"/>
      <c r="K19" s="39"/>
      <c r="L19" s="39"/>
      <c r="M19" s="40">
        <f>(L19+K19+J19)/3</f>
        <v>0.0</v>
      </c>
      <c r="N19" s="41"/>
      <c r="O19" s="38"/>
      <c r="P19" s="38"/>
      <c r="Q19" s="78">
        <f>(P19+O19+N19)/3</f>
        <v>0.0</v>
      </c>
      <c r="R19" s="79">
        <v>12.875</v>
      </c>
      <c r="S19" s="80">
        <f>N19+J19+F19+B19</f>
        <v>19.95833333333333</v>
      </c>
      <c r="T19" s="81">
        <f>S19/R19</f>
        <v>1.5501618122977343</v>
      </c>
      <c r="U19" s="82">
        <v>9.0</v>
      </c>
      <c r="V19" s="80">
        <f>O19+K19+G19+C19</f>
        <v>9.95833333333333</v>
      </c>
      <c r="W19" s="81">
        <f>V19/U19</f>
        <v>1.1064814814814812</v>
      </c>
      <c r="X19" s="83">
        <v>18.9583333333333</v>
      </c>
      <c r="Y19" s="84">
        <f>P19+L19+H19+D19</f>
        <v>10.0</v>
      </c>
      <c r="Z19" s="85">
        <f>(Y19+V19+S19)/3</f>
        <v>13.305555555555552</v>
      </c>
      <c r="AA19" s="81">
        <f>Y19/X19</f>
        <v>0.5274725274725284</v>
      </c>
    </row>
    <row r="20" spans="8:8">
      <c r="A20" s="44" t="s">
        <v>27</v>
      </c>
      <c r="B20" s="45">
        <f>667000+1107700+554400+584100+358500-2750</f>
        <v>3268950.0</v>
      </c>
      <c r="C20" s="46">
        <f>327250+752400+443520+475200+178500</f>
        <v>2176870.0</v>
      </c>
      <c r="D20" s="45">
        <f>132000+276000+376200+166320+356400+72000</f>
        <v>1378920.0</v>
      </c>
      <c r="E20" s="37">
        <f>(D20+C20+B20)/3</f>
        <v>2274913.3333333335</v>
      </c>
      <c r="F20" s="45">
        <f>330000+345000+1254000+831600+360000+831600</f>
        <v>3952200.0</v>
      </c>
      <c r="G20" s="45">
        <f>657250+276000+1055450+166320+534600+180000</f>
        <v>2869620.0</v>
      </c>
      <c r="H20" s="45">
        <f>330000+414000+877800+720720+594000+288000</f>
        <v>3224520.0</v>
      </c>
      <c r="I20" s="37">
        <f>(H20+G20+F20)/3</f>
        <v>3348780.0</v>
      </c>
      <c r="J20" s="48">
        <v>1705260.0</v>
      </c>
      <c r="K20" s="48">
        <v>3172020.0</v>
      </c>
      <c r="L20" s="48">
        <v>2580000.0</v>
      </c>
      <c r="M20" s="40">
        <f>(L20+K20+J20)/3</f>
        <v>2485760.0</v>
      </c>
      <c r="N20" s="48">
        <v>5859900.0</v>
      </c>
      <c r="O20" s="38">
        <v>3209150.0</v>
      </c>
      <c r="P20" s="38">
        <v>5473680.0</v>
      </c>
      <c r="Q20" s="78">
        <f>(P20+O20+N20)/3</f>
        <v>4847576.666666667</v>
      </c>
      <c r="R20" s="79">
        <v>4064170.0</v>
      </c>
      <c r="S20" s="80">
        <f>N20+J20+F20+B20</f>
        <v>1.478631E7</v>
      </c>
      <c r="T20" s="81">
        <f>S20/R20</f>
        <v>3.638211492137386</v>
      </c>
      <c r="U20" s="82">
        <v>1.418599E7</v>
      </c>
      <c r="V20" s="80">
        <f>O20+K20+G20+C20</f>
        <v>1.142766E7</v>
      </c>
      <c r="W20" s="81">
        <f>V20/U20</f>
        <v>0.8055595696881219</v>
      </c>
      <c r="X20" s="83">
        <v>1.427132E7</v>
      </c>
      <c r="Y20" s="84">
        <f>P20+L20+H20+D20</f>
        <v>1.265712E7</v>
      </c>
      <c r="Z20" s="85">
        <f>(Y20+V20+S20)/3</f>
        <v>1.295703E7</v>
      </c>
      <c r="AA20" s="81">
        <f>Y20/X20</f>
        <v>0.8868920324118582</v>
      </c>
    </row>
    <row r="21" spans="8:8">
      <c r="A21" s="49" t="s">
        <v>28</v>
      </c>
      <c r="B21" s="38">
        <f>180/60</f>
        <v>3.0</v>
      </c>
      <c r="C21" s="38">
        <f>180/60</f>
        <v>3.0</v>
      </c>
      <c r="D21" s="38">
        <v>-1.0</v>
      </c>
      <c r="E21" s="37">
        <f>(D21+C21+B21)/3</f>
        <v>1.6666666666666667</v>
      </c>
      <c r="F21" s="38">
        <f>120/60</f>
        <v>2.0</v>
      </c>
      <c r="G21" s="41"/>
      <c r="H21" s="38">
        <f>178/60</f>
        <v>2.966666666666667</v>
      </c>
      <c r="I21" s="37">
        <f>(H21+G21+F21)/3</f>
        <v>1.6555555555555557</v>
      </c>
      <c r="J21" s="39">
        <f>120/60</f>
        <v>2.0</v>
      </c>
      <c r="K21" s="39">
        <f>719/60</f>
        <v>11.983333333333333</v>
      </c>
      <c r="L21" s="39">
        <f>180/60</f>
        <v>3.0</v>
      </c>
      <c r="M21" s="40">
        <f>(L21+K21+J21)/3</f>
        <v>5.661111111111111</v>
      </c>
      <c r="N21" s="41"/>
      <c r="O21" s="38"/>
      <c r="P21" s="38">
        <f>120/60</f>
        <v>2.0</v>
      </c>
      <c r="Q21" s="78">
        <f>(P21+O21+N21)/3</f>
        <v>0.6666666666666666</v>
      </c>
      <c r="R21" s="79">
        <v>13.9666666666667</v>
      </c>
      <c r="S21" s="80">
        <f>N21+J21+F21+B21</f>
        <v>7.0</v>
      </c>
      <c r="T21" s="81">
        <f>S21/R21</f>
        <v>0.5011933174224331</v>
      </c>
      <c r="U21" s="82">
        <v>24.0</v>
      </c>
      <c r="V21" s="80">
        <f>O21+K21+G21+C21</f>
        <v>14.9833333333333</v>
      </c>
      <c r="W21" s="81">
        <f>V21/U21</f>
        <v>0.6243055555555542</v>
      </c>
      <c r="X21" s="83">
        <v>2.98333333333333</v>
      </c>
      <c r="Y21" s="84">
        <f>P21+L21+H21+D21</f>
        <v>6.96666666666667</v>
      </c>
      <c r="Z21" s="85">
        <f>(Y21+V21+S21)/3</f>
        <v>9.64999999999999</v>
      </c>
      <c r="AA21" s="81">
        <f>Y21/X21</f>
        <v>2.335195530726261</v>
      </c>
    </row>
    <row r="22" spans="8:8">
      <c r="A22" s="44" t="s">
        <v>29</v>
      </c>
      <c r="B22" s="45">
        <v>270000.0</v>
      </c>
      <c r="C22" s="54">
        <v>270000.0</v>
      </c>
      <c r="D22" s="45">
        <v>-1500.0</v>
      </c>
      <c r="E22" s="37">
        <f>(D22+C22+B22)/3</f>
        <v>179500.0</v>
      </c>
      <c r="F22" s="45">
        <v>180000.0</v>
      </c>
      <c r="G22" s="45"/>
      <c r="H22" s="45">
        <v>267000.0</v>
      </c>
      <c r="I22" s="37">
        <f>(H22+G22+F22)/3</f>
        <v>149000.0</v>
      </c>
      <c r="J22" s="48">
        <v>180000.0</v>
      </c>
      <c r="K22" s="48">
        <v>1078500.0</v>
      </c>
      <c r="L22" s="48">
        <v>270000.0</v>
      </c>
      <c r="M22" s="40">
        <f>(L22+K22+J22)/3</f>
        <v>509500.0</v>
      </c>
      <c r="N22" s="48"/>
      <c r="O22" s="38"/>
      <c r="P22" s="38">
        <v>180000.0</v>
      </c>
      <c r="Q22" s="78">
        <f>(P22+O22+N22)/3</f>
        <v>60000.0</v>
      </c>
      <c r="R22" s="79">
        <v>1257000.0</v>
      </c>
      <c r="S22" s="80">
        <f>N22+J22+F22+B22</f>
        <v>630000.0</v>
      </c>
      <c r="T22" s="81">
        <f>S22/R22</f>
        <v>0.5011933174224343</v>
      </c>
      <c r="U22" s="82">
        <v>2160000.0</v>
      </c>
      <c r="V22" s="80">
        <f>O22+K22+G22+C22</f>
        <v>1348500.0</v>
      </c>
      <c r="W22" s="81">
        <f>V22/U22</f>
        <v>0.6243055555555556</v>
      </c>
      <c r="X22" s="83">
        <v>268500.0</v>
      </c>
      <c r="Y22" s="84">
        <f>P22+L22+H22+D22</f>
        <v>715500.0</v>
      </c>
      <c r="Z22" s="85">
        <f>(Y22+V22+S22)/3</f>
        <v>898000.0</v>
      </c>
      <c r="AA22" s="81">
        <f>Y22/X22</f>
        <v>2.664804469273743</v>
      </c>
    </row>
    <row r="23" spans="8:8" ht="15.75">
      <c r="A23" s="55" t="s">
        <v>30</v>
      </c>
      <c r="B23" s="56">
        <f>SUM(B13,B20,B22)</f>
        <v>8784350.0</v>
      </c>
      <c r="C23" s="57">
        <f>SUM(C13,C20,C22)</f>
        <v>1.165647E7</v>
      </c>
      <c r="D23" s="56">
        <f>SUM(D13,D20,D22)</f>
        <v>1375220.0</v>
      </c>
      <c r="E23" s="58">
        <f>(D23+C23+B23)/3</f>
        <v>7272013.333333333</v>
      </c>
      <c r="F23" s="56">
        <f>SUM(F13,F20,F22)</f>
        <v>7564600.0</v>
      </c>
      <c r="G23" s="56">
        <f>SUM(G13,G20,G22)</f>
        <v>9094320.0</v>
      </c>
      <c r="H23" s="56">
        <f>SUM(H13,H20,H22)</f>
        <v>6946220.0</v>
      </c>
      <c r="I23" s="58">
        <f>(H23+G23+F23)/3</f>
        <v>7868380.0</v>
      </c>
      <c r="J23" s="56">
        <f>SUM(J13,J20,J22)</f>
        <v>6212260.0</v>
      </c>
      <c r="K23" s="56">
        <f>SUM(K13,K20,K22)</f>
        <v>1.755352E7</v>
      </c>
      <c r="L23" s="56">
        <f>SUM(L13,L20,L22)</f>
        <v>1.11458E7</v>
      </c>
      <c r="M23" s="59">
        <f>(L23+K23+J23)/3</f>
        <v>1.1637193333333334E7</v>
      </c>
      <c r="N23" s="56">
        <f>SUM(N13,N20,N22)</f>
        <v>1.42847E7</v>
      </c>
      <c r="O23" s="56">
        <f>SUM(O13,O20,O22)</f>
        <v>2.014915E7</v>
      </c>
      <c r="P23" s="56">
        <f>SUM(P13,P20,P22)</f>
        <v>1.663288E7</v>
      </c>
      <c r="Q23" s="86">
        <f>(P23+O23+N23)/3</f>
        <v>1.7022243333333332E7</v>
      </c>
      <c r="R23" s="87">
        <v>1.953747E7</v>
      </c>
      <c r="S23" s="88">
        <f>N23+J23+F23+B23</f>
        <v>3.684591E7</v>
      </c>
      <c r="T23" s="89">
        <f>S23/R23</f>
        <v>1.8859099975585376</v>
      </c>
      <c r="U23" s="90">
        <v>4.673779E7</v>
      </c>
      <c r="V23" s="88">
        <f>O23+K23+G23+C23</f>
        <v>5.845346E7</v>
      </c>
      <c r="W23" s="89">
        <f>V23/U23</f>
        <v>1.2506680354377047</v>
      </c>
      <c r="X23" s="91">
        <v>4.265062E7</v>
      </c>
      <c r="Y23" s="87">
        <f>P23+L23+H23+D23</f>
        <v>3.610012E7</v>
      </c>
      <c r="Z23" s="92">
        <f>(Y23+V23+S23)/3</f>
        <v>4.379983E7</v>
      </c>
      <c r="AA23" s="89">
        <f>Y23/X23</f>
        <v>0.8464148938514845</v>
      </c>
    </row>
  </sheetData>
  <mergeCells count="27">
    <mergeCell ref="A3:A7"/>
    <mergeCell ref="J5:M5"/>
    <mergeCell ref="B3:Q3"/>
    <mergeCell ref="Y3:Y7"/>
    <mergeCell ref="AA3:AA7"/>
    <mergeCell ref="S3:S7"/>
    <mergeCell ref="T3:T7"/>
    <mergeCell ref="U3:U7"/>
    <mergeCell ref="V3:V7"/>
    <mergeCell ref="W3:W7"/>
    <mergeCell ref="X3:X7"/>
    <mergeCell ref="Q6:Q7"/>
    <mergeCell ref="N4:Q4"/>
    <mergeCell ref="Z3:Z7"/>
    <mergeCell ref="N5:Q5"/>
    <mergeCell ref="B4:E4"/>
    <mergeCell ref="I6:I7"/>
    <mergeCell ref="J4:M4"/>
    <mergeCell ref="F5:I5"/>
    <mergeCell ref="F7:H7"/>
    <mergeCell ref="J7:L7"/>
    <mergeCell ref="N7:P7"/>
    <mergeCell ref="M6:M7"/>
    <mergeCell ref="B5:E5"/>
    <mergeCell ref="F4:I4"/>
    <mergeCell ref="E6:E7"/>
    <mergeCell ref="B7:D7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5"/>
  <sheetViews>
    <sheetView tabSelected="1" workbookViewId="0" zoomScale="47">
      <selection activeCell="O38" sqref="O38"/>
    </sheetView>
  </sheetViews>
  <sheetFormatPr defaultRowHeight="15.0" defaultColWidth="10"/>
  <cols>
    <col min="1" max="1" customWidth="1" width="26.71875" style="1"/>
    <col min="2" max="2" customWidth="1" width="12.2890625" style="1"/>
    <col min="3" max="3" customWidth="1" width="12.2890625" style="1"/>
    <col min="4" max="4" customWidth="1" width="11.2890625" style="1"/>
    <col min="5" max="5" customWidth="1" width="12.2890625" style="1"/>
    <col min="6" max="6" customWidth="1" width="11.4296875" style="1"/>
    <col min="7" max="7" customWidth="1" width="12.2890625" style="1"/>
    <col min="8" max="8" customWidth="1" width="12.2890625" style="1"/>
    <col min="9" max="9" customWidth="1" width="11.2890625" style="1"/>
    <col min="10" max="10" customWidth="1" width="12.2890625" style="1"/>
    <col min="11" max="11" customWidth="1" width="12.2890625" style="1"/>
    <col min="12" max="12" customWidth="1" width="12.2890625" style="1"/>
    <col min="13" max="13" customWidth="1" width="12.2890625" style="1"/>
    <col min="14" max="14" customWidth="1" width="12.2890625" style="3"/>
    <col min="15" max="15" customWidth="1" width="12.2890625" style="1"/>
    <col min="16" max="16" customWidth="1" width="12.2890625" style="1"/>
    <col min="17" max="17" customWidth="1" width="12.2890625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2"/>
      <c r="P1" s="2"/>
    </row>
    <row r="2" spans="8:8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</row>
    <row r="3" spans="8:8" ht="15.75">
      <c r="A3" s="6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8:8">
      <c r="A4" s="10"/>
      <c r="B4" s="11" t="s">
        <v>6</v>
      </c>
      <c r="C4" s="12"/>
      <c r="D4" s="12"/>
      <c r="E4" s="13"/>
      <c r="F4" s="11" t="s">
        <v>6</v>
      </c>
      <c r="G4" s="12"/>
      <c r="H4" s="12"/>
      <c r="I4" s="13"/>
      <c r="J4" s="11" t="s">
        <v>7</v>
      </c>
      <c r="K4" s="12"/>
      <c r="L4" s="12"/>
      <c r="M4" s="13"/>
      <c r="N4" s="11" t="s">
        <v>7</v>
      </c>
      <c r="O4" s="12"/>
      <c r="P4" s="12"/>
      <c r="Q4" s="13"/>
    </row>
    <row r="5" spans="8:8" ht="15.75">
      <c r="A5" s="10"/>
      <c r="B5" s="14" t="s">
        <v>8</v>
      </c>
      <c r="C5" s="15"/>
      <c r="D5" s="15"/>
      <c r="E5" s="16"/>
      <c r="F5" s="14" t="s">
        <v>9</v>
      </c>
      <c r="G5" s="15"/>
      <c r="H5" s="15"/>
      <c r="I5" s="16"/>
      <c r="J5" s="14" t="s">
        <v>10</v>
      </c>
      <c r="K5" s="15"/>
      <c r="L5" s="15"/>
      <c r="M5" s="16"/>
      <c r="N5" s="14" t="s">
        <v>11</v>
      </c>
      <c r="O5" s="15"/>
      <c r="P5" s="15"/>
      <c r="Q5" s="93"/>
    </row>
    <row r="6" spans="8:8" ht="15.75">
      <c r="A6" s="10"/>
      <c r="B6" s="17">
        <v>43739.0</v>
      </c>
      <c r="C6" s="17">
        <v>43770.0</v>
      </c>
      <c r="D6" s="17">
        <v>43800.0</v>
      </c>
      <c r="E6" s="18" t="s">
        <v>13</v>
      </c>
      <c r="F6" s="17">
        <v>43739.0</v>
      </c>
      <c r="G6" s="17">
        <v>43770.0</v>
      </c>
      <c r="H6" s="17">
        <v>43800.0</v>
      </c>
      <c r="I6" s="18" t="s">
        <v>13</v>
      </c>
      <c r="J6" s="17">
        <v>43739.0</v>
      </c>
      <c r="K6" s="17">
        <v>43770.0</v>
      </c>
      <c r="L6" s="17">
        <v>43800.0</v>
      </c>
      <c r="M6" s="18" t="s">
        <v>13</v>
      </c>
      <c r="N6" s="17">
        <v>43739.0</v>
      </c>
      <c r="O6" s="17">
        <v>43770.0</v>
      </c>
      <c r="P6" s="94">
        <v>43800.0</v>
      </c>
      <c r="Q6" s="95" t="s">
        <v>13</v>
      </c>
      <c r="R6" s="1"/>
    </row>
    <row r="7" spans="8:8" ht="15.75">
      <c r="A7" s="10"/>
      <c r="B7" s="19" t="s">
        <v>14</v>
      </c>
      <c r="C7" s="20"/>
      <c r="D7" s="21"/>
      <c r="E7" s="22"/>
      <c r="F7" s="19" t="s">
        <v>14</v>
      </c>
      <c r="G7" s="20"/>
      <c r="H7" s="21"/>
      <c r="I7" s="22"/>
      <c r="J7" s="19" t="s">
        <v>14</v>
      </c>
      <c r="K7" s="20"/>
      <c r="L7" s="21"/>
      <c r="M7" s="22"/>
      <c r="N7" s="19" t="s">
        <v>14</v>
      </c>
      <c r="O7" s="20"/>
      <c r="P7" s="20"/>
      <c r="Q7" s="95"/>
      <c r="R7" s="1"/>
    </row>
    <row r="8" spans="8:8">
      <c r="A8" s="24" t="s">
        <v>15</v>
      </c>
      <c r="B8" s="25">
        <f>125/10</f>
        <v>12.5</v>
      </c>
      <c r="C8" s="26"/>
      <c r="D8" s="25"/>
      <c r="E8" s="28">
        <f>(D8+C8+B8)/3</f>
        <v>4.166666666666667</v>
      </c>
      <c r="F8" s="25">
        <v>7.0</v>
      </c>
      <c r="G8" s="29"/>
      <c r="H8" s="25"/>
      <c r="I8" s="28">
        <f>(F8+G8+H8)/3</f>
        <v>2.3333333333333335</v>
      </c>
      <c r="J8" s="25"/>
      <c r="K8" s="29"/>
      <c r="L8" s="30"/>
      <c r="M8" s="31">
        <f>(L8+K8+J8)/3</f>
        <v>0.0</v>
      </c>
      <c r="N8" s="25">
        <v>15.0</v>
      </c>
      <c r="O8" s="29"/>
      <c r="P8" s="25"/>
      <c r="Q8" s="32">
        <f>(P8+O8+N8)/3</f>
        <v>5.0</v>
      </c>
      <c r="R8" s="1"/>
    </row>
    <row r="9" spans="8:8">
      <c r="A9" s="33" t="s">
        <v>16</v>
      </c>
      <c r="B9" s="38">
        <v>1.0</v>
      </c>
      <c r="C9" s="35"/>
      <c r="D9" s="38"/>
      <c r="E9" s="37">
        <f>(D9+C9+B9)/3</f>
        <v>0.3333333333333333</v>
      </c>
      <c r="F9" s="38">
        <v>-11.0</v>
      </c>
      <c r="G9" s="38"/>
      <c r="H9" s="38"/>
      <c r="I9" s="37">
        <f>(H9+G9+F9)/3</f>
        <v>-3.6666666666666665</v>
      </c>
      <c r="J9" s="39"/>
      <c r="K9" s="39"/>
      <c r="L9" s="39"/>
      <c r="M9" s="40">
        <f>(L9+K9+J9)/3</f>
        <v>0.0</v>
      </c>
      <c r="N9" s="41">
        <v>1.0</v>
      </c>
      <c r="O9" s="38"/>
      <c r="P9" s="38"/>
      <c r="Q9" s="32">
        <f>(P9+O9+N9)/3</f>
        <v>0.3333333333333333</v>
      </c>
      <c r="R9" s="1"/>
    </row>
    <row r="10" spans="8:8">
      <c r="A10" s="33" t="s">
        <v>17</v>
      </c>
      <c r="B10" s="38">
        <f>180/12</f>
        <v>15.0</v>
      </c>
      <c r="C10" s="35"/>
      <c r="D10" s="38"/>
      <c r="E10" s="37">
        <f>(D10+C10+B10)/3</f>
        <v>5.0</v>
      </c>
      <c r="F10" s="41">
        <f>167/12</f>
        <v>13.916666666666666</v>
      </c>
      <c r="G10" s="38"/>
      <c r="H10" s="38"/>
      <c r="I10" s="37">
        <f>(H10+G10+F10)/3</f>
        <v>4.638888888888888</v>
      </c>
      <c r="J10" s="38"/>
      <c r="K10" s="41"/>
      <c r="L10" s="39"/>
      <c r="M10" s="40">
        <f>(L10+K10+J10)/3</f>
        <v>0.0</v>
      </c>
      <c r="N10" s="38">
        <f>180/12</f>
        <v>15.0</v>
      </c>
      <c r="O10" s="41"/>
      <c r="P10" s="38"/>
      <c r="Q10" s="32">
        <f>(P10+O10+N10)/3</f>
        <v>5.0</v>
      </c>
      <c r="R10" s="1"/>
    </row>
    <row r="11" spans="8:8">
      <c r="A11" s="33" t="s">
        <v>18</v>
      </c>
      <c r="B11" s="38">
        <v>1.0</v>
      </c>
      <c r="C11" s="35"/>
      <c r="D11" s="38"/>
      <c r="E11" s="37">
        <f>(D11+C11+B11)/3</f>
        <v>0.3333333333333333</v>
      </c>
      <c r="F11" s="38"/>
      <c r="G11" s="38"/>
      <c r="H11" s="38"/>
      <c r="I11" s="37">
        <f>(H11+G11+F11)/3</f>
        <v>0.0</v>
      </c>
      <c r="J11" s="39"/>
      <c r="K11" s="39"/>
      <c r="L11" s="39"/>
      <c r="M11" s="40">
        <f>(L11+K11+J11)/3</f>
        <v>0.0</v>
      </c>
      <c r="N11" s="41">
        <v>1.0</v>
      </c>
      <c r="O11" s="41"/>
      <c r="P11" s="38"/>
      <c r="Q11" s="32">
        <f>(P11+O11+N11)/3</f>
        <v>0.3333333333333333</v>
      </c>
      <c r="R11" s="1"/>
    </row>
    <row r="12" spans="8:8">
      <c r="A12" s="33" t="s">
        <v>33</v>
      </c>
      <c r="B12" s="96">
        <f>960/36</f>
        <v>26.666666666666668</v>
      </c>
      <c r="C12" s="35"/>
      <c r="D12" s="38"/>
      <c r="E12" s="37">
        <f>(D12+C12+B12)/3</f>
        <v>8.88888888888889</v>
      </c>
      <c r="F12" s="38"/>
      <c r="G12" s="38"/>
      <c r="H12" s="38"/>
      <c r="I12" s="37"/>
      <c r="J12" s="39"/>
      <c r="K12" s="39"/>
      <c r="L12" s="39"/>
      <c r="M12" s="40"/>
      <c r="N12" s="41"/>
      <c r="O12" s="41"/>
      <c r="P12" s="38"/>
      <c r="Q12" s="32"/>
      <c r="R12" s="1"/>
    </row>
    <row r="13" spans="8:8">
      <c r="A13" s="33" t="s">
        <v>19</v>
      </c>
      <c r="B13" s="38">
        <f>1188/36</f>
        <v>33.0</v>
      </c>
      <c r="C13" s="35"/>
      <c r="D13" s="38"/>
      <c r="E13" s="37">
        <f>(D13+C13+B13)/3</f>
        <v>11.0</v>
      </c>
      <c r="F13" s="38">
        <f>3960/36</f>
        <v>110.0</v>
      </c>
      <c r="G13" s="41"/>
      <c r="H13" s="38"/>
      <c r="I13" s="37">
        <f>(H13+G13+F13)/3</f>
        <v>36.666666666666664</v>
      </c>
      <c r="J13" s="38">
        <f>2700/36</f>
        <v>75.0</v>
      </c>
      <c r="K13" s="41"/>
      <c r="L13" s="41"/>
      <c r="M13" s="40">
        <f>(L13+K13+J13)/3</f>
        <v>25.0</v>
      </c>
      <c r="N13" s="38">
        <f>3600/36</f>
        <v>100.0</v>
      </c>
      <c r="O13" s="41"/>
      <c r="P13" s="41"/>
      <c r="Q13" s="32">
        <f>(P13+O13+N13)/3</f>
        <v>33.333333333333336</v>
      </c>
      <c r="R13" s="1"/>
    </row>
    <row r="14" spans="8:8">
      <c r="A14" s="44" t="s">
        <v>20</v>
      </c>
      <c r="B14" s="45">
        <v>7418600.0</v>
      </c>
      <c r="C14" s="46"/>
      <c r="D14" s="45"/>
      <c r="E14" s="37">
        <f>(D14+C14+B14)/3</f>
        <v>2472866.6666666665</v>
      </c>
      <c r="F14" s="45">
        <v>9924100.0</v>
      </c>
      <c r="G14" s="47"/>
      <c r="H14" s="45"/>
      <c r="I14" s="37">
        <f>(H14+G14+F14)/3</f>
        <v>3308033.3333333335</v>
      </c>
      <c r="J14" s="48">
        <v>5940000.0</v>
      </c>
      <c r="K14" s="48"/>
      <c r="L14" s="48"/>
      <c r="M14" s="40">
        <f>(L14+K14+J14)/3</f>
        <v>1980000.0</v>
      </c>
      <c r="N14" s="48">
        <v>1.0788E7</v>
      </c>
      <c r="O14" s="38"/>
      <c r="P14" s="38"/>
      <c r="Q14" s="32">
        <f>(P14+O14+N14)/3</f>
        <v>3596000.0</v>
      </c>
      <c r="R14" s="1"/>
    </row>
    <row r="15" spans="8:8">
      <c r="A15" s="49" t="s">
        <v>21</v>
      </c>
      <c r="B15" s="38">
        <f>120/24</f>
        <v>5.0</v>
      </c>
      <c r="C15" s="35"/>
      <c r="D15" s="38"/>
      <c r="E15" s="37">
        <f>(D15+C15+B15)/3</f>
        <v>1.6666666666666667</v>
      </c>
      <c r="F15" s="41">
        <f>480/24</f>
        <v>20.0</v>
      </c>
      <c r="G15" s="41"/>
      <c r="H15" s="38"/>
      <c r="I15" s="37">
        <f>(H15+G15+F15)/3</f>
        <v>6.666666666666667</v>
      </c>
      <c r="J15" s="38"/>
      <c r="K15" s="41"/>
      <c r="L15" s="41"/>
      <c r="M15" s="40">
        <f>(L15+K15+J15)/3</f>
        <v>0.0</v>
      </c>
      <c r="N15" s="38">
        <f>432/24</f>
        <v>18.0</v>
      </c>
      <c r="O15" s="41"/>
      <c r="P15" s="41"/>
      <c r="Q15" s="32">
        <f>(P15+O15+N15)/3</f>
        <v>6.0</v>
      </c>
      <c r="R15" s="1"/>
    </row>
    <row r="16" spans="8:8">
      <c r="A16" s="49" t="s">
        <v>22</v>
      </c>
      <c r="B16" s="38">
        <f>72/12</f>
        <v>6.0</v>
      </c>
      <c r="C16" s="35"/>
      <c r="D16" s="38"/>
      <c r="E16" s="37">
        <f>(D16+C16+B16)/3</f>
        <v>2.0</v>
      </c>
      <c r="F16" s="41">
        <f>84/12</f>
        <v>7.0</v>
      </c>
      <c r="G16" s="38"/>
      <c r="H16" s="38"/>
      <c r="I16" s="37">
        <f>(H16+G16+F16)/3</f>
        <v>2.3333333333333335</v>
      </c>
      <c r="J16" s="38">
        <v>5.0</v>
      </c>
      <c r="K16" s="39"/>
      <c r="L16" s="39"/>
      <c r="M16" s="40">
        <f>(L16+K16+J16)/3</f>
        <v>1.6666666666666667</v>
      </c>
      <c r="N16" s="38"/>
      <c r="O16" s="41"/>
      <c r="P16" s="41"/>
      <c r="Q16" s="32">
        <f>(P16+O16+N16)/3</f>
        <v>0.0</v>
      </c>
      <c r="R16" s="1"/>
    </row>
    <row r="17" spans="8:8">
      <c r="A17" s="49" t="s">
        <v>23</v>
      </c>
      <c r="B17" s="38">
        <f>78/6</f>
        <v>13.0</v>
      </c>
      <c r="C17" s="35"/>
      <c r="D17" s="38"/>
      <c r="E17" s="37">
        <f>(D17+C17+B17)/3</f>
        <v>4.333333333333333</v>
      </c>
      <c r="F17" s="41">
        <v>20.0</v>
      </c>
      <c r="G17" s="41"/>
      <c r="H17" s="38"/>
      <c r="I17" s="37">
        <f>(H17+G17+F17)/3</f>
        <v>6.666666666666667</v>
      </c>
      <c r="J17" s="38">
        <f>149/6</f>
        <v>24.833333333333332</v>
      </c>
      <c r="K17" s="41"/>
      <c r="L17" s="41"/>
      <c r="M17" s="40">
        <f>(L17+K17+J17)/3</f>
        <v>8.277777777777777</v>
      </c>
      <c r="N17" s="38">
        <f>144/6</f>
        <v>24.0</v>
      </c>
      <c r="O17" s="41"/>
      <c r="P17" s="41"/>
      <c r="Q17" s="32">
        <f>(P17+O17+N17)/3</f>
        <v>8.0</v>
      </c>
      <c r="R17" s="1"/>
    </row>
    <row r="18" spans="8:8">
      <c r="A18" s="49" t="s">
        <v>24</v>
      </c>
      <c r="B18" s="38">
        <v>11.0</v>
      </c>
      <c r="C18" s="35"/>
      <c r="D18" s="38"/>
      <c r="E18" s="37">
        <f>(D18+C18+B18)/3</f>
        <v>3.6666666666666665</v>
      </c>
      <c r="F18" s="41">
        <f>72/6</f>
        <v>12.0</v>
      </c>
      <c r="G18" s="41"/>
      <c r="H18" s="38"/>
      <c r="I18" s="37">
        <f>(H18+G18+F18)/3</f>
        <v>4.0</v>
      </c>
      <c r="J18" s="38">
        <f>72/6</f>
        <v>12.0</v>
      </c>
      <c r="K18" s="41"/>
      <c r="L18" s="39"/>
      <c r="M18" s="40">
        <f>(L18+K18+J18)/3</f>
        <v>4.0</v>
      </c>
      <c r="N18" s="38">
        <f>48/6</f>
        <v>8.0</v>
      </c>
      <c r="O18" s="41"/>
      <c r="P18" s="41"/>
      <c r="Q18" s="32">
        <f>(P18+O18+N18)/3</f>
        <v>2.6666666666666665</v>
      </c>
      <c r="R18" s="1"/>
    </row>
    <row r="19" spans="8:8">
      <c r="A19" s="49" t="s">
        <v>25</v>
      </c>
      <c r="B19" s="38">
        <v>4.0</v>
      </c>
      <c r="C19" s="35"/>
      <c r="D19" s="38"/>
      <c r="E19" s="37">
        <f>(D19+C19+B19)/3</f>
        <v>1.3333333333333333</v>
      </c>
      <c r="F19" s="41">
        <v>5.0</v>
      </c>
      <c r="G19" s="41"/>
      <c r="H19" s="38"/>
      <c r="I19" s="37">
        <f>(H19+G19+F19)/3</f>
        <v>1.6666666666666667</v>
      </c>
      <c r="J19" s="38">
        <v>4.0</v>
      </c>
      <c r="K19" s="41"/>
      <c r="L19" s="41"/>
      <c r="M19" s="40">
        <f>(L19+K19+J19)/3</f>
        <v>1.3333333333333333</v>
      </c>
      <c r="N19" s="38"/>
      <c r="O19" s="38"/>
      <c r="P19" s="41"/>
      <c r="Q19" s="32">
        <f>(P19+O19+N19)/3</f>
        <v>0.0</v>
      </c>
      <c r="R19" s="1"/>
    </row>
    <row r="20" spans="8:8">
      <c r="A20" s="53" t="s">
        <v>26</v>
      </c>
      <c r="B20" s="38">
        <f>72/24</f>
        <v>3.0</v>
      </c>
      <c r="C20" s="35"/>
      <c r="D20" s="38"/>
      <c r="E20" s="37">
        <f>(D20+C20+B20)/3</f>
        <v>1.0</v>
      </c>
      <c r="F20" s="41">
        <f>96/24</f>
        <v>4.0</v>
      </c>
      <c r="G20" s="41"/>
      <c r="H20" s="38"/>
      <c r="I20" s="37">
        <f>(H20+G20+F20)/3</f>
        <v>1.3333333333333333</v>
      </c>
      <c r="J20" s="39"/>
      <c r="K20" s="39"/>
      <c r="L20" s="39"/>
      <c r="M20" s="40">
        <f>(L20+K20+J20)/3</f>
        <v>0.0</v>
      </c>
      <c r="N20" s="41"/>
      <c r="O20" s="38"/>
      <c r="P20" s="38"/>
      <c r="Q20" s="32">
        <f>(P20+O20+N20)/3</f>
        <v>0.0</v>
      </c>
      <c r="R20" s="1"/>
    </row>
    <row r="21" spans="8:8">
      <c r="A21" s="44" t="s">
        <v>27</v>
      </c>
      <c r="B21" s="45">
        <v>2515140.0</v>
      </c>
      <c r="C21" s="46"/>
      <c r="D21" s="45"/>
      <c r="E21" s="37">
        <f>(D21+C21+B21)/3</f>
        <v>838380.0</v>
      </c>
      <c r="F21" s="45">
        <v>4163880.0</v>
      </c>
      <c r="G21" s="45"/>
      <c r="H21" s="45"/>
      <c r="I21" s="37">
        <f>(H21+G21+F21)/3</f>
        <v>1387960.0</v>
      </c>
      <c r="J21" s="48">
        <v>2823050.0</v>
      </c>
      <c r="K21" s="48"/>
      <c r="L21" s="48"/>
      <c r="M21" s="40">
        <f>(L21+K21+J21)/3</f>
        <v>941016.6666666666</v>
      </c>
      <c r="N21" s="48">
        <v>3168000.0</v>
      </c>
      <c r="O21" s="38"/>
      <c r="P21" s="38"/>
      <c r="Q21" s="32">
        <f>(P21+O21+N21)/3</f>
        <v>1056000.0</v>
      </c>
      <c r="R21" s="1"/>
    </row>
    <row r="22" spans="8:8">
      <c r="A22" s="49" t="s">
        <v>28</v>
      </c>
      <c r="B22" s="38">
        <v>3.0</v>
      </c>
      <c r="C22" s="38"/>
      <c r="D22" s="38"/>
      <c r="E22" s="37">
        <f>(D22+C22+B22)/3</f>
        <v>1.0</v>
      </c>
      <c r="F22" s="38">
        <v>1.0</v>
      </c>
      <c r="G22" s="41"/>
      <c r="H22" s="38"/>
      <c r="I22" s="37">
        <f>(H22+G22+F22)/3</f>
        <v>0.3333333333333333</v>
      </c>
      <c r="J22" s="39">
        <v>2.0</v>
      </c>
      <c r="K22" s="39"/>
      <c r="L22" s="39"/>
      <c r="M22" s="40">
        <f>(L22+K22+J22)/3</f>
        <v>0.6666666666666666</v>
      </c>
      <c r="N22" s="41">
        <v>1.0</v>
      </c>
      <c r="O22" s="38"/>
      <c r="P22" s="38"/>
      <c r="Q22" s="32">
        <f>(P22+O22+N22)/3</f>
        <v>0.3333333333333333</v>
      </c>
      <c r="R22" s="1"/>
    </row>
    <row r="23" spans="8:8">
      <c r="A23" s="44" t="s">
        <v>29</v>
      </c>
      <c r="B23" s="45">
        <v>270000.0</v>
      </c>
      <c r="C23" s="54"/>
      <c r="D23" s="45"/>
      <c r="E23" s="37">
        <f>(D23+C23+B23)/3</f>
        <v>90000.0</v>
      </c>
      <c r="F23" s="45">
        <v>90000.0</v>
      </c>
      <c r="G23" s="45"/>
      <c r="H23" s="45"/>
      <c r="I23" s="37">
        <f>(H23+G23+F23)/3</f>
        <v>30000.0</v>
      </c>
      <c r="J23" s="48">
        <v>180000.0</v>
      </c>
      <c r="K23" s="48"/>
      <c r="L23" s="48"/>
      <c r="M23" s="40">
        <f>(L23+K23+J23)/3</f>
        <v>60000.0</v>
      </c>
      <c r="N23" s="48">
        <v>90000.0</v>
      </c>
      <c r="O23" s="38"/>
      <c r="P23" s="38"/>
      <c r="Q23" s="32">
        <f>(P23+O23+N23)/3</f>
        <v>30000.0</v>
      </c>
      <c r="R23" s="1"/>
    </row>
    <row r="24" spans="8:8" ht="15.75">
      <c r="A24" s="55" t="s">
        <v>30</v>
      </c>
      <c r="B24" s="56">
        <f>SUM(B14,B21,B23)</f>
        <v>1.020374E7</v>
      </c>
      <c r="C24" s="57">
        <f>SUM(C14,C21,C23)</f>
        <v>0.0</v>
      </c>
      <c r="D24" s="56">
        <f>SUM(D14,D21,D23)</f>
        <v>0.0</v>
      </c>
      <c r="E24" s="58">
        <f>(D24+C24+B24)/3</f>
        <v>3401246.6666666665</v>
      </c>
      <c r="F24" s="56">
        <f>SUM(F14,F21,F23)</f>
        <v>1.417798E7</v>
      </c>
      <c r="G24" s="56">
        <f>SUM(G14,G21,G23)</f>
        <v>0.0</v>
      </c>
      <c r="H24" s="56">
        <f>SUM(H14,H21,H23)</f>
        <v>0.0</v>
      </c>
      <c r="I24" s="58">
        <f>(H24+G24+F24)/3</f>
        <v>4725993.333333333</v>
      </c>
      <c r="J24" s="56">
        <f>SUM(J14,J21,J23)</f>
        <v>8943050.0</v>
      </c>
      <c r="K24" s="56">
        <f>SUM(K14,K21,K23)</f>
        <v>0.0</v>
      </c>
      <c r="L24" s="56">
        <f>SUM(L14,L21,L23)</f>
        <v>0.0</v>
      </c>
      <c r="M24" s="59">
        <f>(L24+K24+J24)/3</f>
        <v>2981016.6666666665</v>
      </c>
      <c r="N24" s="56">
        <f>SUM(N14,N21,N23)</f>
        <v>1.4046E7</v>
      </c>
      <c r="O24" s="56">
        <f>SUM(O14,O21,O23)</f>
        <v>0.0</v>
      </c>
      <c r="P24" s="56">
        <f>SUM(P14,P21,P23)</f>
        <v>0.0</v>
      </c>
      <c r="Q24" s="32">
        <f>(P24+O24+N24)/3</f>
        <v>4682000.0</v>
      </c>
      <c r="R24" s="1"/>
    </row>
    <row r="25" spans="8:8">
      <c r="Q25" s="1"/>
    </row>
  </sheetData>
  <mergeCells count="18">
    <mergeCell ref="A3:A7"/>
    <mergeCell ref="I6:I7"/>
    <mergeCell ref="B5:E5"/>
    <mergeCell ref="F5:I5"/>
    <mergeCell ref="E6:E7"/>
    <mergeCell ref="B7:D7"/>
    <mergeCell ref="F7:H7"/>
    <mergeCell ref="B3:Q3"/>
    <mergeCell ref="F4:I4"/>
    <mergeCell ref="J4:M4"/>
    <mergeCell ref="N4:Q4"/>
    <mergeCell ref="J5:M5"/>
    <mergeCell ref="N5:Q5"/>
    <mergeCell ref="Q6:Q7"/>
    <mergeCell ref="M6:M7"/>
    <mergeCell ref="B4:E4"/>
    <mergeCell ref="J7:L7"/>
    <mergeCell ref="N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Polaris Office</cp:lastModifiedBy>
  <dcterms:created xsi:type="dcterms:W3CDTF">2019-11-25T08:24:02Z</dcterms:created>
  <dcterms:modified xsi:type="dcterms:W3CDTF">2019-11-25T08:24:31Z</dcterms:modified>
</cp:coreProperties>
</file>