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PC\Desktop\"/>
    </mc:Choice>
  </mc:AlternateContent>
  <bookViews>
    <workbookView xWindow="360" yWindow="30" windowWidth="25755" windowHeight="11595" activeTab="3"/>
  </bookViews>
  <sheets>
    <sheet name="JAN-MAR" sheetId="3" r:id="rId1"/>
    <sheet name="APR-JUN" sheetId="2" r:id="rId2"/>
    <sheet name="JULI s.dSEP" sheetId="1" r:id="rId3"/>
    <sheet name="OKT-DES" sheetId="4" r:id="rId4"/>
  </sheets>
  <calcPr calcId="162913"/>
</workbook>
</file>

<file path=xl/calcChain.xml><?xml version="1.0" encoding="utf-8"?>
<calcChain xmlns="http://schemas.openxmlformats.org/spreadsheetml/2006/main">
  <c r="G17" i="4" l="1"/>
  <c r="G13" i="4"/>
  <c r="P24" i="4"/>
  <c r="O24" i="4"/>
  <c r="N24" i="4"/>
  <c r="L24" i="4"/>
  <c r="K24" i="4"/>
  <c r="M24" i="4" s="1"/>
  <c r="J24" i="4"/>
  <c r="H24" i="4"/>
  <c r="G24" i="4"/>
  <c r="F24" i="4"/>
  <c r="D24" i="4"/>
  <c r="C24" i="4"/>
  <c r="B24" i="4"/>
  <c r="Q23" i="4"/>
  <c r="M23" i="4"/>
  <c r="I23" i="4"/>
  <c r="E23" i="4"/>
  <c r="Q22" i="4"/>
  <c r="M22" i="4"/>
  <c r="I22" i="4"/>
  <c r="E22" i="4"/>
  <c r="Q21" i="4"/>
  <c r="M21" i="4"/>
  <c r="I21" i="4"/>
  <c r="E21" i="4"/>
  <c r="Q20" i="4"/>
  <c r="M20" i="4"/>
  <c r="F20" i="4"/>
  <c r="I20" i="4" s="1"/>
  <c r="B20" i="4"/>
  <c r="E20" i="4" s="1"/>
  <c r="Q19" i="4"/>
  <c r="M19" i="4"/>
  <c r="I19" i="4"/>
  <c r="E19" i="4"/>
  <c r="N18" i="4"/>
  <c r="Q18" i="4" s="1"/>
  <c r="J18" i="4"/>
  <c r="M18" i="4" s="1"/>
  <c r="F18" i="4"/>
  <c r="I18" i="4" s="1"/>
  <c r="E18" i="4"/>
  <c r="Q17" i="4"/>
  <c r="N17" i="4"/>
  <c r="M17" i="4"/>
  <c r="J17" i="4"/>
  <c r="I17" i="4"/>
  <c r="B17" i="4"/>
  <c r="E17" i="4" s="1"/>
  <c r="Q16" i="4"/>
  <c r="M16" i="4"/>
  <c r="I16" i="4"/>
  <c r="F16" i="4"/>
  <c r="E16" i="4"/>
  <c r="B16" i="4"/>
  <c r="N15" i="4"/>
  <c r="Q15" i="4" s="1"/>
  <c r="M15" i="4"/>
  <c r="I15" i="4"/>
  <c r="F15" i="4"/>
  <c r="E15" i="4"/>
  <c r="B15" i="4"/>
  <c r="Q14" i="4"/>
  <c r="M14" i="4"/>
  <c r="I14" i="4"/>
  <c r="E14" i="4"/>
  <c r="Q13" i="4"/>
  <c r="N13" i="4"/>
  <c r="M13" i="4"/>
  <c r="J13" i="4"/>
  <c r="I13" i="4"/>
  <c r="F13" i="4"/>
  <c r="E13" i="4"/>
  <c r="B13" i="4"/>
  <c r="E12" i="4"/>
  <c r="B12" i="4"/>
  <c r="Q11" i="4"/>
  <c r="M11" i="4"/>
  <c r="I11" i="4"/>
  <c r="E11" i="4"/>
  <c r="Q10" i="4"/>
  <c r="N10" i="4"/>
  <c r="M10" i="4"/>
  <c r="F10" i="4"/>
  <c r="I10" i="4" s="1"/>
  <c r="B10" i="4"/>
  <c r="E10" i="4" s="1"/>
  <c r="Q9" i="4"/>
  <c r="M9" i="4"/>
  <c r="I9" i="4"/>
  <c r="E9" i="4"/>
  <c r="Q8" i="4"/>
  <c r="M8" i="4"/>
  <c r="I8" i="4"/>
  <c r="E8" i="4"/>
  <c r="B8" i="4"/>
  <c r="P23" i="1"/>
  <c r="O23" i="1"/>
  <c r="N23" i="1"/>
  <c r="L23" i="1"/>
  <c r="K23" i="1"/>
  <c r="J23" i="1"/>
  <c r="D23" i="1"/>
  <c r="Z22" i="1"/>
  <c r="Y22" i="1"/>
  <c r="AA22" i="1" s="1"/>
  <c r="W22" i="1"/>
  <c r="V22" i="1"/>
  <c r="T22" i="1"/>
  <c r="S22" i="1"/>
  <c r="Q22" i="1"/>
  <c r="M22" i="1"/>
  <c r="I22" i="1"/>
  <c r="E22" i="1"/>
  <c r="V21" i="1"/>
  <c r="W21" i="1" s="1"/>
  <c r="P21" i="1"/>
  <c r="Q21" i="1" s="1"/>
  <c r="L21" i="1"/>
  <c r="K21" i="1"/>
  <c r="J21" i="1"/>
  <c r="S21" i="1" s="1"/>
  <c r="T21" i="1" s="1"/>
  <c r="H21" i="1"/>
  <c r="I21" i="1" s="1"/>
  <c r="F21" i="1"/>
  <c r="C21" i="1"/>
  <c r="B21" i="1"/>
  <c r="E21" i="1" s="1"/>
  <c r="Q20" i="1"/>
  <c r="M20" i="1"/>
  <c r="H20" i="1"/>
  <c r="Y20" i="1" s="1"/>
  <c r="AA20" i="1" s="1"/>
  <c r="G20" i="1"/>
  <c r="F20" i="1"/>
  <c r="S20" i="1" s="1"/>
  <c r="T20" i="1" s="1"/>
  <c r="D20" i="1"/>
  <c r="C20" i="1"/>
  <c r="E20" i="1" s="1"/>
  <c r="B20" i="1"/>
  <c r="V19" i="1"/>
  <c r="W19" i="1" s="1"/>
  <c r="Q19" i="1"/>
  <c r="M19" i="1"/>
  <c r="H19" i="1"/>
  <c r="G19" i="1"/>
  <c r="F19" i="1"/>
  <c r="D19" i="1"/>
  <c r="C19" i="1"/>
  <c r="B19" i="1"/>
  <c r="S19" i="1" s="1"/>
  <c r="T19" i="1" s="1"/>
  <c r="P18" i="1"/>
  <c r="Y18" i="1" s="1"/>
  <c r="AA18" i="1" s="1"/>
  <c r="O18" i="1"/>
  <c r="N18" i="1"/>
  <c r="L18" i="1"/>
  <c r="K18" i="1"/>
  <c r="M18" i="1" s="1"/>
  <c r="J18" i="1"/>
  <c r="H18" i="1"/>
  <c r="G18" i="1"/>
  <c r="I18" i="1" s="1"/>
  <c r="F18" i="1"/>
  <c r="D18" i="1"/>
  <c r="B18" i="1"/>
  <c r="E18" i="1" s="1"/>
  <c r="P17" i="1"/>
  <c r="O17" i="1"/>
  <c r="N17" i="1"/>
  <c r="L17" i="1"/>
  <c r="K17" i="1"/>
  <c r="M17" i="1" s="1"/>
  <c r="H17" i="1"/>
  <c r="G17" i="1"/>
  <c r="F17" i="1"/>
  <c r="D17" i="1"/>
  <c r="C17" i="1"/>
  <c r="B17" i="1"/>
  <c r="P16" i="1"/>
  <c r="Y16" i="1" s="1"/>
  <c r="AA16" i="1" s="1"/>
  <c r="O16" i="1"/>
  <c r="N16" i="1"/>
  <c r="S16" i="1" s="1"/>
  <c r="T16" i="1" s="1"/>
  <c r="L16" i="1"/>
  <c r="K16" i="1"/>
  <c r="M16" i="1" s="1"/>
  <c r="J16" i="1"/>
  <c r="H16" i="1"/>
  <c r="G16" i="1"/>
  <c r="I16" i="1" s="1"/>
  <c r="F16" i="1"/>
  <c r="D16" i="1"/>
  <c r="C16" i="1"/>
  <c r="E16" i="1" s="1"/>
  <c r="B16" i="1"/>
  <c r="P15" i="1"/>
  <c r="Y15" i="1" s="1"/>
  <c r="O15" i="1"/>
  <c r="V15" i="1" s="1"/>
  <c r="W15" i="1" s="1"/>
  <c r="N15" i="1"/>
  <c r="S15" i="1" s="1"/>
  <c r="T15" i="1" s="1"/>
  <c r="K15" i="1"/>
  <c r="J15" i="1"/>
  <c r="M15" i="1" s="1"/>
  <c r="H15" i="1"/>
  <c r="I15" i="1" s="1"/>
  <c r="G15" i="1"/>
  <c r="F15" i="1"/>
  <c r="D15" i="1"/>
  <c r="E15" i="1" s="1"/>
  <c r="C15" i="1"/>
  <c r="V14" i="1"/>
  <c r="W14" i="1" s="1"/>
  <c r="P14" i="1"/>
  <c r="Q14" i="1" s="1"/>
  <c r="O14" i="1"/>
  <c r="N14" i="1"/>
  <c r="S14" i="1" s="1"/>
  <c r="T14" i="1" s="1"/>
  <c r="J14" i="1"/>
  <c r="M14" i="1" s="1"/>
  <c r="H14" i="1"/>
  <c r="I14" i="1" s="1"/>
  <c r="G14" i="1"/>
  <c r="F14" i="1"/>
  <c r="D14" i="1"/>
  <c r="E14" i="1" s="1"/>
  <c r="C14" i="1"/>
  <c r="Q13" i="1"/>
  <c r="M13" i="1"/>
  <c r="H13" i="1"/>
  <c r="H23" i="1" s="1"/>
  <c r="G13" i="1"/>
  <c r="G23" i="1" s="1"/>
  <c r="V23" i="1" s="1"/>
  <c r="W23" i="1" s="1"/>
  <c r="F13" i="1"/>
  <c r="F23" i="1" s="1"/>
  <c r="C13" i="1"/>
  <c r="C23" i="1" s="1"/>
  <c r="B13" i="1"/>
  <c r="B23" i="1" s="1"/>
  <c r="P12" i="1"/>
  <c r="Q12" i="1" s="1"/>
  <c r="O12" i="1"/>
  <c r="N12" i="1"/>
  <c r="S12" i="1" s="1"/>
  <c r="T12" i="1" s="1"/>
  <c r="L12" i="1"/>
  <c r="M12" i="1" s="1"/>
  <c r="K12" i="1"/>
  <c r="J12" i="1"/>
  <c r="H12" i="1"/>
  <c r="I12" i="1" s="1"/>
  <c r="G12" i="1"/>
  <c r="F12" i="1"/>
  <c r="C12" i="1"/>
  <c r="E12" i="1" s="1"/>
  <c r="O11" i="1"/>
  <c r="V11" i="1" s="1"/>
  <c r="W11" i="1" s="1"/>
  <c r="N11" i="1"/>
  <c r="S11" i="1" s="1"/>
  <c r="T11" i="1" s="1"/>
  <c r="M11" i="1"/>
  <c r="H11" i="1"/>
  <c r="Y11" i="1" s="1"/>
  <c r="F11" i="1"/>
  <c r="I11" i="1" s="1"/>
  <c r="C11" i="1"/>
  <c r="E11" i="1" s="1"/>
  <c r="P10" i="1"/>
  <c r="Y10" i="1" s="1"/>
  <c r="O10" i="1"/>
  <c r="V10" i="1" s="1"/>
  <c r="W10" i="1" s="1"/>
  <c r="N10" i="1"/>
  <c r="S10" i="1" s="1"/>
  <c r="T10" i="1" s="1"/>
  <c r="L10" i="1"/>
  <c r="K10" i="1"/>
  <c r="M10" i="1" s="1"/>
  <c r="H10" i="1"/>
  <c r="I10" i="1" s="1"/>
  <c r="G10" i="1"/>
  <c r="F10" i="1"/>
  <c r="C10" i="1"/>
  <c r="E10" i="1" s="1"/>
  <c r="P9" i="1"/>
  <c r="Y9" i="1" s="1"/>
  <c r="O9" i="1"/>
  <c r="V9" i="1" s="1"/>
  <c r="W9" i="1" s="1"/>
  <c r="N9" i="1"/>
  <c r="S9" i="1" s="1"/>
  <c r="T9" i="1" s="1"/>
  <c r="M9" i="1"/>
  <c r="I9" i="1"/>
  <c r="E9" i="1"/>
  <c r="P8" i="1"/>
  <c r="Y8" i="1" s="1"/>
  <c r="O8" i="1"/>
  <c r="Q8" i="1" s="1"/>
  <c r="K8" i="1"/>
  <c r="M8" i="1" s="1"/>
  <c r="H8" i="1"/>
  <c r="G8" i="1"/>
  <c r="F8" i="1"/>
  <c r="S8" i="1" s="1"/>
  <c r="T8" i="1" s="1"/>
  <c r="C8" i="1"/>
  <c r="V8" i="1" s="1"/>
  <c r="W8" i="1" s="1"/>
  <c r="P23" i="2"/>
  <c r="Q23" i="2" s="1"/>
  <c r="O23" i="2"/>
  <c r="N23" i="2"/>
  <c r="L23" i="2"/>
  <c r="M23" i="2" s="1"/>
  <c r="K23" i="2"/>
  <c r="J23" i="2"/>
  <c r="H23" i="2"/>
  <c r="I23" i="2" s="1"/>
  <c r="G23" i="2"/>
  <c r="F23" i="2"/>
  <c r="D23" i="2"/>
  <c r="E23" i="2" s="1"/>
  <c r="C23" i="2"/>
  <c r="B23" i="2"/>
  <c r="Q22" i="2"/>
  <c r="M22" i="2"/>
  <c r="I22" i="2"/>
  <c r="E22" i="2"/>
  <c r="Q21" i="2"/>
  <c r="M21" i="2"/>
  <c r="I21" i="2"/>
  <c r="E21" i="2"/>
  <c r="Q20" i="2"/>
  <c r="M20" i="2"/>
  <c r="I20" i="2"/>
  <c r="E20" i="2"/>
  <c r="Q19" i="2"/>
  <c r="M19" i="2"/>
  <c r="F19" i="2"/>
  <c r="I19" i="2" s="1"/>
  <c r="B19" i="2"/>
  <c r="E19" i="2" s="1"/>
  <c r="Q18" i="2"/>
  <c r="M18" i="2"/>
  <c r="F18" i="2"/>
  <c r="I18" i="2" s="1"/>
  <c r="E18" i="2"/>
  <c r="Q17" i="2"/>
  <c r="K17" i="2"/>
  <c r="M17" i="2" s="1"/>
  <c r="J17" i="2"/>
  <c r="H17" i="2"/>
  <c r="F17" i="2"/>
  <c r="I17" i="2" s="1"/>
  <c r="D17" i="2"/>
  <c r="E17" i="2" s="1"/>
  <c r="B17" i="2"/>
  <c r="P16" i="2"/>
  <c r="O16" i="2"/>
  <c r="Q16" i="2" s="1"/>
  <c r="L16" i="2"/>
  <c r="M16" i="2" s="1"/>
  <c r="K16" i="2"/>
  <c r="H16" i="2"/>
  <c r="G16" i="2"/>
  <c r="I16" i="2" s="1"/>
  <c r="D16" i="2"/>
  <c r="E16" i="2" s="1"/>
  <c r="C16" i="2"/>
  <c r="B16" i="2"/>
  <c r="O15" i="2"/>
  <c r="Q15" i="2" s="1"/>
  <c r="M15" i="2"/>
  <c r="I15" i="2"/>
  <c r="E15" i="2"/>
  <c r="Q14" i="2"/>
  <c r="M14" i="2"/>
  <c r="I14" i="2"/>
  <c r="F14" i="2"/>
  <c r="E14" i="2"/>
  <c r="B14" i="2"/>
  <c r="Q13" i="2"/>
  <c r="M13" i="2"/>
  <c r="I13" i="2"/>
  <c r="E13" i="2"/>
  <c r="O12" i="2"/>
  <c r="N12" i="2"/>
  <c r="Q12" i="2" s="1"/>
  <c r="L12" i="2"/>
  <c r="M12" i="2" s="1"/>
  <c r="J12" i="2"/>
  <c r="H12" i="2"/>
  <c r="G12" i="2"/>
  <c r="I12" i="2" s="1"/>
  <c r="C12" i="2"/>
  <c r="E12" i="2" s="1"/>
  <c r="Q11" i="2"/>
  <c r="M11" i="2"/>
  <c r="I11" i="2"/>
  <c r="E11" i="2"/>
  <c r="P10" i="2"/>
  <c r="Q10" i="2" s="1"/>
  <c r="N10" i="2"/>
  <c r="M10" i="2"/>
  <c r="G10" i="2"/>
  <c r="I10" i="2" s="1"/>
  <c r="D10" i="2"/>
  <c r="E10" i="2" s="1"/>
  <c r="C10" i="2"/>
  <c r="Q9" i="2"/>
  <c r="M9" i="2"/>
  <c r="I9" i="2"/>
  <c r="C9" i="2"/>
  <c r="E9" i="2" s="1"/>
  <c r="Q8" i="2"/>
  <c r="M8" i="2"/>
  <c r="I8" i="2"/>
  <c r="E8" i="2"/>
  <c r="C8" i="2"/>
  <c r="P23" i="3"/>
  <c r="O23" i="3"/>
  <c r="Q23" i="3" s="1"/>
  <c r="N23" i="3"/>
  <c r="L23" i="3"/>
  <c r="K23" i="3"/>
  <c r="M23" i="3" s="1"/>
  <c r="J23" i="3"/>
  <c r="H23" i="3"/>
  <c r="G23" i="3"/>
  <c r="I23" i="3" s="1"/>
  <c r="F23" i="3"/>
  <c r="D23" i="3"/>
  <c r="C23" i="3"/>
  <c r="E23" i="3" s="1"/>
  <c r="B23" i="3"/>
  <c r="Q22" i="3"/>
  <c r="M22" i="3"/>
  <c r="I22" i="3"/>
  <c r="E22" i="3"/>
  <c r="Q21" i="3"/>
  <c r="M21" i="3"/>
  <c r="I21" i="3"/>
  <c r="E21" i="3"/>
  <c r="Q20" i="3"/>
  <c r="M20" i="3"/>
  <c r="I20" i="3"/>
  <c r="E20" i="3"/>
  <c r="Q19" i="3"/>
  <c r="M19" i="3"/>
  <c r="I19" i="3"/>
  <c r="H19" i="3"/>
  <c r="E19" i="3"/>
  <c r="O18" i="3"/>
  <c r="Q18" i="3" s="1"/>
  <c r="N18" i="3"/>
  <c r="K18" i="3"/>
  <c r="J18" i="3"/>
  <c r="M18" i="3" s="1"/>
  <c r="H18" i="3"/>
  <c r="I18" i="3" s="1"/>
  <c r="E18" i="3"/>
  <c r="P17" i="3"/>
  <c r="O17" i="3"/>
  <c r="Q17" i="3" s="1"/>
  <c r="N17" i="3"/>
  <c r="L17" i="3"/>
  <c r="K17" i="3"/>
  <c r="M17" i="3" s="1"/>
  <c r="H17" i="3"/>
  <c r="I17" i="3" s="1"/>
  <c r="E17" i="3"/>
  <c r="P16" i="3"/>
  <c r="Q16" i="3" s="1"/>
  <c r="O16" i="3"/>
  <c r="N16" i="3"/>
  <c r="K16" i="3"/>
  <c r="M16" i="3" s="1"/>
  <c r="J16" i="3"/>
  <c r="I16" i="3"/>
  <c r="H16" i="3"/>
  <c r="E16" i="3"/>
  <c r="P15" i="3"/>
  <c r="Q15" i="3" s="1"/>
  <c r="O15" i="3"/>
  <c r="N15" i="3"/>
  <c r="M15" i="3"/>
  <c r="I15" i="3"/>
  <c r="H15" i="3"/>
  <c r="E15" i="3"/>
  <c r="P14" i="3"/>
  <c r="Q14" i="3" s="1"/>
  <c r="O14" i="3"/>
  <c r="N14" i="3"/>
  <c r="L14" i="3"/>
  <c r="M14" i="3" s="1"/>
  <c r="K14" i="3"/>
  <c r="J14" i="3"/>
  <c r="H14" i="3"/>
  <c r="I14" i="3" s="1"/>
  <c r="E14" i="3"/>
  <c r="Q13" i="3"/>
  <c r="M13" i="3"/>
  <c r="I13" i="3"/>
  <c r="E13" i="3"/>
  <c r="P12" i="3"/>
  <c r="O12" i="3"/>
  <c r="Q12" i="3" s="1"/>
  <c r="N12" i="3"/>
  <c r="L12" i="3"/>
  <c r="K12" i="3"/>
  <c r="M12" i="3" s="1"/>
  <c r="J12" i="3"/>
  <c r="I12" i="3"/>
  <c r="E12" i="3"/>
  <c r="Q11" i="3"/>
  <c r="P11" i="3"/>
  <c r="M11" i="3"/>
  <c r="I11" i="3"/>
  <c r="E11" i="3"/>
  <c r="P10" i="3"/>
  <c r="Q10" i="3" s="1"/>
  <c r="N10" i="3"/>
  <c r="M10" i="3"/>
  <c r="I10" i="3"/>
  <c r="E10" i="3"/>
  <c r="Q9" i="3"/>
  <c r="M9" i="3"/>
  <c r="I9" i="3"/>
  <c r="E9" i="3"/>
  <c r="Q8" i="3"/>
  <c r="M8" i="3"/>
  <c r="I8" i="3"/>
  <c r="E8" i="3"/>
  <c r="I24" i="4" l="1"/>
  <c r="E24" i="4"/>
  <c r="AA8" i="1"/>
  <c r="Z8" i="1"/>
  <c r="AA9" i="1"/>
  <c r="Z9" i="1"/>
  <c r="AA11" i="1"/>
  <c r="Z11" i="1"/>
  <c r="I23" i="1"/>
  <c r="Z15" i="1"/>
  <c r="AA15" i="1"/>
  <c r="S23" i="1"/>
  <c r="T23" i="1" s="1"/>
  <c r="AA10" i="1"/>
  <c r="Z10" i="1"/>
  <c r="Q9" i="1"/>
  <c r="Q10" i="1"/>
  <c r="Q11" i="1"/>
  <c r="V12" i="1"/>
  <c r="W12" i="1" s="1"/>
  <c r="Y12" i="1"/>
  <c r="S13" i="1"/>
  <c r="T13" i="1" s="1"/>
  <c r="V13" i="1"/>
  <c r="W13" i="1" s="1"/>
  <c r="Y13" i="1"/>
  <c r="Y14" i="1"/>
  <c r="Q15" i="1"/>
  <c r="V16" i="1"/>
  <c r="W16" i="1" s="1"/>
  <c r="Q16" i="1"/>
  <c r="E17" i="1"/>
  <c r="V17" i="1"/>
  <c r="W17" i="1" s="1"/>
  <c r="Q17" i="1"/>
  <c r="V18" i="1"/>
  <c r="W18" i="1" s="1"/>
  <c r="Q18" i="1"/>
  <c r="E19" i="1"/>
  <c r="Y19" i="1"/>
  <c r="M21" i="1"/>
  <c r="Y21" i="1"/>
  <c r="M23" i="1"/>
  <c r="Y23" i="1"/>
  <c r="Q24" i="4"/>
  <c r="E8" i="1"/>
  <c r="I8" i="1"/>
  <c r="E13" i="1"/>
  <c r="I13" i="1"/>
  <c r="Z16" i="1"/>
  <c r="I17" i="1"/>
  <c r="S17" i="1"/>
  <c r="T17" i="1" s="1"/>
  <c r="Y17" i="1"/>
  <c r="S18" i="1"/>
  <c r="T18" i="1" s="1"/>
  <c r="Z18" i="1"/>
  <c r="I19" i="1"/>
  <c r="V20" i="1"/>
  <c r="W20" i="1" s="1"/>
  <c r="I20" i="1"/>
  <c r="E23" i="1"/>
  <c r="Q23" i="1"/>
  <c r="AA17" i="1" l="1"/>
  <c r="Z17" i="1"/>
  <c r="Z23" i="1"/>
  <c r="AA23" i="1"/>
  <c r="Z21" i="1"/>
  <c r="AA21" i="1"/>
  <c r="Z20" i="1"/>
  <c r="Z13" i="1"/>
  <c r="AA13" i="1"/>
  <c r="Z19" i="1"/>
  <c r="AA19" i="1"/>
  <c r="Z14" i="1"/>
  <c r="AA14" i="1"/>
  <c r="Z12" i="1"/>
  <c r="AA12" i="1"/>
</calcChain>
</file>

<file path=xl/sharedStrings.xml><?xml version="1.0" encoding="utf-8"?>
<sst xmlns="http://schemas.openxmlformats.org/spreadsheetml/2006/main" count="149" uniqueCount="34">
  <si>
    <t>PRODUK</t>
  </si>
  <si>
    <t>NAMA STORE</t>
  </si>
  <si>
    <t>ACHIEVEMENT</t>
  </si>
  <si>
    <t>%</t>
  </si>
  <si>
    <t>TARGET AGUSTUS</t>
  </si>
  <si>
    <t>TARGET SEPTEMBER</t>
  </si>
  <si>
    <t>PT. AKUR PRATAMA</t>
  </si>
  <si>
    <t>PT. ASIA TRITUNGGAGAL JAYA</t>
  </si>
  <si>
    <t>( YOGYA MITRA BATIK )</t>
  </si>
  <si>
    <t>( YOGYA HZ MUSTOFA )</t>
  </si>
  <si>
    <t>( ASIA CIHIDEUNG )</t>
  </si>
  <si>
    <t>( ASIA PLAZA )</t>
  </si>
  <si>
    <t>TARGET JULI</t>
  </si>
  <si>
    <t>average</t>
  </si>
  <si>
    <t>Quantity karton</t>
  </si>
  <si>
    <t xml:space="preserve"> CC 1 / 10 / 200 ML</t>
  </si>
  <si>
    <t xml:space="preserve"> CC 1 / 12 / 1000 ML</t>
  </si>
  <si>
    <t xml:space="preserve"> CC SUN 1 / 12 / 200 ML</t>
  </si>
  <si>
    <t xml:space="preserve"> CC SUN 1 / 12 / 1000 ML</t>
  </si>
  <si>
    <t xml:space="preserve"> CC SUN 1 / 36 / TCA 65 ML</t>
  </si>
  <si>
    <t xml:space="preserve"> TOTAL CC ( RUPIAH )</t>
  </si>
  <si>
    <t xml:space="preserve"> Nata de coco 1/24/220 ML</t>
  </si>
  <si>
    <t xml:space="preserve"> Nata de coco 1/12/360 GR</t>
  </si>
  <si>
    <t xml:space="preserve"> Nata 1/6/1 KG</t>
  </si>
  <si>
    <t xml:space="preserve"> Nata 1/6/1 KG Slices</t>
  </si>
  <si>
    <t xml:space="preserve"> Nata 1/6/1 KG Ember</t>
  </si>
  <si>
    <t>Nata de coco 1/24/130 Gr</t>
  </si>
  <si>
    <t>TOTAL NATA ( RUPIAH )</t>
  </si>
  <si>
    <t>POWDER  20 GR</t>
  </si>
  <si>
    <t>TOTAL  CMP ( RUPIAH )</t>
  </si>
  <si>
    <t>TOTAL RUPIAH</t>
  </si>
  <si>
    <t>`</t>
  </si>
  <si>
    <t>.</t>
  </si>
  <si>
    <t xml:space="preserve"> CC SUN 65 ML CUBE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</si>
</sst>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_);_(@_)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sz val="10"/>
      <color rgb="FF000000"/>
      <name val="Arial"/>
    </font>
    <font>
      <sz val="9"/>
      <color rgb="FF000000"/>
      <name val="Comic Sans MS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5117038483843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Alignment="1"/>
    <xf numFmtId="164" fontId="0" fillId="0" borderId="0" xfId="1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7" fontId="1" fillId="0" borderId="13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0" borderId="15" xfId="0" applyBorder="1" applyAlignment="1"/>
    <xf numFmtId="164" fontId="0" fillId="0" borderId="16" xfId="1" applyBorder="1" applyAlignment="1"/>
    <xf numFmtId="0" fontId="0" fillId="0" borderId="17" xfId="0" applyNumberFormat="1" applyBorder="1" applyAlignment="1"/>
    <xf numFmtId="164" fontId="0" fillId="3" borderId="18" xfId="1" applyFill="1" applyBorder="1" applyAlignment="1"/>
    <xf numFmtId="164" fontId="0" fillId="0" borderId="16" xfId="1" applyBorder="1"/>
    <xf numFmtId="164" fontId="0" fillId="0" borderId="16" xfId="1" applyBorder="1" applyAlignment="1">
      <alignment horizontal="center"/>
    </xf>
    <xf numFmtId="164" fontId="0" fillId="3" borderId="18" xfId="1" applyFill="1" applyBorder="1" applyAlignment="1">
      <alignment horizontal="center"/>
    </xf>
    <xf numFmtId="164" fontId="0" fillId="3" borderId="19" xfId="0" applyNumberFormat="1" applyFill="1" applyBorder="1" applyAlignment="1">
      <alignment vertical="center"/>
    </xf>
    <xf numFmtId="164" fontId="2" fillId="2" borderId="20" xfId="0" applyNumberFormat="1" applyFont="1" applyFill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9" fontId="2" fillId="0" borderId="20" xfId="2" applyFont="1" applyBorder="1" applyAlignment="1">
      <alignment vertical="center"/>
    </xf>
    <xf numFmtId="164" fontId="2" fillId="0" borderId="22" xfId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0" fillId="0" borderId="24" xfId="0" applyBorder="1" applyAlignment="1"/>
    <xf numFmtId="164" fontId="0" fillId="0" borderId="25" xfId="1" applyBorder="1" applyAlignment="1"/>
    <xf numFmtId="164" fontId="0" fillId="0" borderId="25" xfId="1" applyBorder="1" applyAlignment="1">
      <alignment horizontal="right"/>
    </xf>
    <xf numFmtId="164" fontId="0" fillId="3" borderId="25" xfId="1" applyFill="1" applyBorder="1" applyAlignment="1"/>
    <xf numFmtId="164" fontId="0" fillId="0" borderId="25" xfId="1" applyBorder="1" applyAlignment="1">
      <alignment horizontal="center"/>
    </xf>
    <xf numFmtId="164" fontId="0" fillId="3" borderId="25" xfId="1" applyFill="1" applyBorder="1" applyAlignment="1">
      <alignment horizontal="center"/>
    </xf>
    <xf numFmtId="164" fontId="0" fillId="0" borderId="25" xfId="1" applyBorder="1"/>
    <xf numFmtId="164" fontId="0" fillId="3" borderId="26" xfId="0" applyNumberFormat="1" applyFill="1" applyBorder="1" applyAlignment="1">
      <alignment vertical="center"/>
    </xf>
    <xf numFmtId="164" fontId="2" fillId="2" borderId="27" xfId="0" applyNumberFormat="1" applyFont="1" applyFill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9" fontId="2" fillId="0" borderId="27" xfId="2" applyFont="1" applyBorder="1" applyAlignment="1">
      <alignment vertical="center"/>
    </xf>
    <xf numFmtId="164" fontId="2" fillId="0" borderId="29" xfId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0" fontId="2" fillId="4" borderId="24" xfId="0" applyFont="1" applyFill="1" applyBorder="1" applyAlignment="1"/>
    <xf numFmtId="164" fontId="1" fillId="0" borderId="25" xfId="1" applyFont="1" applyBorder="1" applyAlignment="1"/>
    <xf numFmtId="164" fontId="1" fillId="0" borderId="25" xfId="1" applyFont="1" applyBorder="1" applyAlignment="1">
      <alignment horizontal="right"/>
    </xf>
    <xf numFmtId="164" fontId="1" fillId="5" borderId="31" xfId="1" applyFont="1" applyFill="1" applyBorder="1" applyAlignment="1">
      <alignment horizontal="center" vertical="center" wrapText="1"/>
    </xf>
    <xf numFmtId="164" fontId="1" fillId="0" borderId="25" xfId="1" applyFont="1" applyBorder="1" applyAlignment="1">
      <alignment horizontal="center"/>
    </xf>
    <xf numFmtId="0" fontId="0" fillId="4" borderId="24" xfId="0" applyFill="1" applyBorder="1" applyAlignment="1"/>
    <xf numFmtId="0" fontId="4" fillId="0" borderId="24" xfId="3" applyFont="1" applyFill="1" applyBorder="1" applyAlignment="1" applyProtection="1">
      <alignment vertical="center"/>
    </xf>
    <xf numFmtId="164" fontId="1" fillId="5" borderId="32" xfId="1" applyFont="1" applyFill="1" applyBorder="1" applyAlignment="1">
      <alignment horizontal="right" wrapText="1"/>
    </xf>
    <xf numFmtId="0" fontId="2" fillId="4" borderId="33" xfId="0" applyFont="1" applyFill="1" applyBorder="1" applyAlignment="1"/>
    <xf numFmtId="164" fontId="1" fillId="0" borderId="34" xfId="1" applyFont="1" applyBorder="1" applyAlignment="1"/>
    <xf numFmtId="164" fontId="1" fillId="0" borderId="34" xfId="1" applyFont="1" applyBorder="1" applyAlignment="1">
      <alignment horizontal="right"/>
    </xf>
    <xf numFmtId="164" fontId="0" fillId="3" borderId="34" xfId="1" applyFill="1" applyBorder="1" applyAlignment="1"/>
    <xf numFmtId="164" fontId="0" fillId="3" borderId="34" xfId="1" applyFill="1" applyBorder="1" applyAlignment="1">
      <alignment horizontal="center"/>
    </xf>
    <xf numFmtId="164" fontId="0" fillId="3" borderId="35" xfId="0" applyNumberFormat="1" applyFill="1" applyBorder="1" applyAlignment="1">
      <alignment vertical="center"/>
    </xf>
    <xf numFmtId="164" fontId="2" fillId="3" borderId="36" xfId="0" applyNumberFormat="1" applyFont="1" applyFill="1" applyBorder="1" applyAlignment="1">
      <alignment vertical="center"/>
    </xf>
    <xf numFmtId="164" fontId="2" fillId="3" borderId="37" xfId="0" applyNumberFormat="1" applyFont="1" applyFill="1" applyBorder="1" applyAlignment="1">
      <alignment vertical="center"/>
    </xf>
    <xf numFmtId="9" fontId="2" fillId="3" borderId="36" xfId="2" applyFont="1" applyFill="1" applyBorder="1" applyAlignment="1">
      <alignment vertical="center"/>
    </xf>
    <xf numFmtId="164" fontId="2" fillId="3" borderId="38" xfId="1" applyFont="1" applyFill="1" applyBorder="1" applyAlignment="1">
      <alignment vertical="center"/>
    </xf>
    <xf numFmtId="164" fontId="2" fillId="3" borderId="38" xfId="0" applyNumberFormat="1" applyFont="1" applyFill="1" applyBorder="1" applyAlignment="1">
      <alignment vertical="center"/>
    </xf>
    <xf numFmtId="164" fontId="2" fillId="3" borderId="39" xfId="0" applyNumberFormat="1" applyFont="1" applyFill="1" applyBorder="1" applyAlignment="1">
      <alignment vertical="center"/>
    </xf>
    <xf numFmtId="164" fontId="0" fillId="0" borderId="0" xfId="1" applyAlignment="1">
      <alignment vertical="center"/>
    </xf>
    <xf numFmtId="13" fontId="0" fillId="0" borderId="25" xfId="1" applyNumberFormat="1" applyBorder="1" applyAlignment="1"/>
    <xf numFmtId="13" fontId="0" fillId="0" borderId="25" xfId="1" applyNumberFormat="1" applyBorder="1" applyAlignment="1">
      <alignment horizontal="right"/>
    </xf>
    <xf numFmtId="12" fontId="0" fillId="0" borderId="25" xfId="1" applyNumberFormat="1" applyBorder="1" applyAlignment="1"/>
    <xf numFmtId="12" fontId="0" fillId="0" borderId="25" xfId="1" applyNumberFormat="1" applyBorder="1" applyAlignment="1">
      <alignment horizontal="right"/>
    </xf>
    <xf numFmtId="13" fontId="0" fillId="0" borderId="16" xfId="1" applyNumberFormat="1" applyBorder="1" applyAlignment="1">
      <alignment horizontal="left" indent="2"/>
    </xf>
    <xf numFmtId="13" fontId="0" fillId="0" borderId="25" xfId="1" applyNumberFormat="1" applyBorder="1" applyAlignment="1">
      <alignment horizontal="left" indent="2"/>
    </xf>
    <xf numFmtId="13" fontId="0" fillId="0" borderId="25" xfId="1" applyNumberFormat="1" applyBorder="1"/>
    <xf numFmtId="12" fontId="0" fillId="0" borderId="25" xfId="1" applyNumberFormat="1" applyBorder="1"/>
    <xf numFmtId="164" fontId="0" fillId="0" borderId="0" xfId="0" applyNumberFormat="1" applyAlignment="1">
      <alignment vertical="center"/>
    </xf>
    <xf numFmtId="164" fontId="0" fillId="3" borderId="25" xfId="0" applyNumberFormat="1" applyFill="1" applyBorder="1" applyAlignment="1">
      <alignment vertical="center"/>
    </xf>
    <xf numFmtId="43" fontId="0" fillId="0" borderId="25" xfId="1" applyNumberFormat="1" applyBorder="1" applyAlignme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0" fillId="0" borderId="25" xfId="1" applyFont="1" applyBorder="1" applyAlignment="1"/>
    <xf numFmtId="164" fontId="8" fillId="0" borderId="25" xfId="1" applyFont="1" applyBorder="1" applyAlignment="1"/>
    <xf numFmtId="164" fontId="0" fillId="0" borderId="32" xfId="1" applyFont="1" applyBorder="1" applyAlignment="1"/>
    <xf numFmtId="164" fontId="0" fillId="0" borderId="26" xfId="1" applyFont="1" applyBorder="1" applyAlignment="1"/>
    <xf numFmtId="164" fontId="0" fillId="0" borderId="26" xfId="1" applyFont="1" applyBorder="1"/>
    <xf numFmtId="164" fontId="1" fillId="0" borderId="35" xfId="1" applyFont="1" applyBorder="1" applyAlignment="1"/>
    <xf numFmtId="164" fontId="0" fillId="3" borderId="40" xfId="0" applyNumberFormat="1" applyFill="1" applyBorder="1" applyAlignment="1">
      <alignment vertical="center"/>
    </xf>
  </cellXfs>
  <cellStyles count="6">
    <cellStyle name="Comma [0]" xfId="1" builtinId="6"/>
    <cellStyle name="Followed Hyperlink" xfId="5" builtinId="9" hidden="1"/>
    <cellStyle name="Hyperlink" xfId="4" builtinId="8" hidden="1"/>
    <cellStyle name="Normal" xfId="0" builtinId="0"/>
    <cellStyle name="Normal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C1" zoomScale="90" zoomScaleNormal="90" workbookViewId="0">
      <selection activeCell="P21" sqref="P21"/>
    </sheetView>
  </sheetViews>
  <sheetFormatPr defaultRowHeight="15" x14ac:dyDescent="0.25"/>
  <cols>
    <col min="1" max="1" width="26.7109375" style="3" customWidth="1"/>
    <col min="2" max="3" width="12.28515625" style="3" customWidth="1"/>
    <col min="4" max="4" width="12.5703125" style="1" customWidth="1"/>
    <col min="5" max="5" width="12.28515625" style="3" customWidth="1"/>
    <col min="6" max="6" width="11.42578125" style="3" customWidth="1"/>
    <col min="7" max="8" width="12.28515625" style="3" customWidth="1"/>
    <col min="9" max="9" width="11.28515625" style="3" customWidth="1"/>
    <col min="10" max="13" width="12.28515625" style="3" customWidth="1"/>
    <col min="14" max="14" width="12.28515625" style="59" customWidth="1"/>
    <col min="15" max="17" width="12.28515625" style="3" customWidth="1"/>
    <col min="18" max="18" width="9.140625" style="3" customWidth="1"/>
    <col min="19" max="16384" width="9.140625" style="3"/>
  </cols>
  <sheetData>
    <row r="1" spans="1:17" x14ac:dyDescent="0.25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</row>
    <row r="2" spans="1:17" x14ac:dyDescent="0.25">
      <c r="A2" s="4"/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</row>
    <row r="3" spans="1:17" ht="15.75" customHeight="1" x14ac:dyDescent="0.25">
      <c r="A3" s="71" t="s">
        <v>0</v>
      </c>
      <c r="B3" s="73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x14ac:dyDescent="0.25">
      <c r="A4" s="72"/>
      <c r="B4" s="76" t="s">
        <v>6</v>
      </c>
      <c r="C4" s="77"/>
      <c r="D4" s="77"/>
      <c r="E4" s="78"/>
      <c r="F4" s="76" t="s">
        <v>6</v>
      </c>
      <c r="G4" s="77"/>
      <c r="H4" s="77"/>
      <c r="I4" s="78"/>
      <c r="J4" s="76" t="s">
        <v>7</v>
      </c>
      <c r="K4" s="77"/>
      <c r="L4" s="77"/>
      <c r="M4" s="78"/>
      <c r="N4" s="76" t="s">
        <v>7</v>
      </c>
      <c r="O4" s="77"/>
      <c r="P4" s="77"/>
      <c r="Q4" s="78"/>
    </row>
    <row r="5" spans="1:17" x14ac:dyDescent="0.25">
      <c r="A5" s="72"/>
      <c r="B5" s="79" t="s">
        <v>8</v>
      </c>
      <c r="C5" s="80"/>
      <c r="D5" s="80"/>
      <c r="E5" s="81"/>
      <c r="F5" s="79" t="s">
        <v>9</v>
      </c>
      <c r="G5" s="80"/>
      <c r="H5" s="80"/>
      <c r="I5" s="81"/>
      <c r="J5" s="79" t="s">
        <v>10</v>
      </c>
      <c r="K5" s="80"/>
      <c r="L5" s="80"/>
      <c r="M5" s="81"/>
      <c r="N5" s="79" t="s">
        <v>11</v>
      </c>
      <c r="O5" s="80"/>
      <c r="P5" s="80"/>
      <c r="Q5" s="81"/>
    </row>
    <row r="6" spans="1:17" x14ac:dyDescent="0.25">
      <c r="A6" s="72"/>
      <c r="B6" s="7">
        <v>43466</v>
      </c>
      <c r="C6" s="7">
        <v>43497</v>
      </c>
      <c r="D6" s="7">
        <v>43525</v>
      </c>
      <c r="E6" s="82" t="s">
        <v>13</v>
      </c>
      <c r="F6" s="7">
        <v>43466</v>
      </c>
      <c r="G6" s="7">
        <v>43497</v>
      </c>
      <c r="H6" s="7">
        <v>43525</v>
      </c>
      <c r="I6" s="82" t="s">
        <v>13</v>
      </c>
      <c r="J6" s="7">
        <v>43466</v>
      </c>
      <c r="K6" s="7">
        <v>43497</v>
      </c>
      <c r="L6" s="7">
        <v>43525</v>
      </c>
      <c r="M6" s="82" t="s">
        <v>13</v>
      </c>
      <c r="N6" s="7">
        <v>43466</v>
      </c>
      <c r="O6" s="7">
        <v>43497</v>
      </c>
      <c r="P6" s="7">
        <v>43525</v>
      </c>
      <c r="Q6" s="82" t="s">
        <v>13</v>
      </c>
    </row>
    <row r="7" spans="1:17" x14ac:dyDescent="0.25">
      <c r="A7" s="72"/>
      <c r="B7" s="85" t="s">
        <v>14</v>
      </c>
      <c r="C7" s="86"/>
      <c r="D7" s="87"/>
      <c r="E7" s="83"/>
      <c r="F7" s="85" t="s">
        <v>14</v>
      </c>
      <c r="G7" s="86"/>
      <c r="H7" s="87"/>
      <c r="I7" s="83"/>
      <c r="J7" s="85" t="s">
        <v>14</v>
      </c>
      <c r="K7" s="86"/>
      <c r="L7" s="87"/>
      <c r="M7" s="83"/>
      <c r="N7" s="85" t="s">
        <v>14</v>
      </c>
      <c r="O7" s="86"/>
      <c r="P7" s="87"/>
      <c r="Q7" s="84"/>
    </row>
    <row r="8" spans="1:17" x14ac:dyDescent="0.25">
      <c r="A8" s="9" t="s">
        <v>15</v>
      </c>
      <c r="B8" s="10"/>
      <c r="C8" s="11"/>
      <c r="D8" s="64">
        <v>28</v>
      </c>
      <c r="E8" s="12">
        <f t="shared" ref="E8:E23" si="0">(D8+C8+B8)/3</f>
        <v>9.3333333333333339</v>
      </c>
      <c r="F8" s="10"/>
      <c r="G8" s="13">
        <v>-4</v>
      </c>
      <c r="H8" s="10">
        <v>26</v>
      </c>
      <c r="I8" s="12">
        <f>(F8+G8+H8)/3</f>
        <v>7.333333333333333</v>
      </c>
      <c r="J8" s="10">
        <v>10</v>
      </c>
      <c r="K8" s="13"/>
      <c r="L8" s="14"/>
      <c r="M8" s="15">
        <f t="shared" ref="M8:M23" si="1">(L8+K8+J8)/3</f>
        <v>3.3333333333333335</v>
      </c>
      <c r="N8" s="10">
        <v>15</v>
      </c>
      <c r="O8" s="13">
        <v>10</v>
      </c>
      <c r="P8" s="10">
        <v>50</v>
      </c>
      <c r="Q8" s="69">
        <f t="shared" ref="Q8:Q23" si="2">(P8+O8+N8)/3</f>
        <v>25</v>
      </c>
    </row>
    <row r="9" spans="1:17" x14ac:dyDescent="0.25">
      <c r="A9" s="24" t="s">
        <v>16</v>
      </c>
      <c r="B9" s="60">
        <v>1</v>
      </c>
      <c r="C9" s="26"/>
      <c r="D9" s="65">
        <v>3</v>
      </c>
      <c r="E9" s="27">
        <f t="shared" si="0"/>
        <v>1.3333333333333333</v>
      </c>
      <c r="F9" s="25">
        <v>12</v>
      </c>
      <c r="G9" s="25"/>
      <c r="H9" s="25">
        <v>2</v>
      </c>
      <c r="I9" s="27">
        <f t="shared" ref="I9:I23" si="3">(H9+G9+F9)/3</f>
        <v>4.666666666666667</v>
      </c>
      <c r="J9" s="28"/>
      <c r="K9" s="28"/>
      <c r="L9" s="28"/>
      <c r="M9" s="29">
        <f t="shared" si="1"/>
        <v>0</v>
      </c>
      <c r="N9" s="30"/>
      <c r="O9" s="25">
        <v>1</v>
      </c>
      <c r="P9" s="25">
        <v>3</v>
      </c>
      <c r="Q9" s="69">
        <f t="shared" si="2"/>
        <v>1.3333333333333333</v>
      </c>
    </row>
    <row r="10" spans="1:17" x14ac:dyDescent="0.25">
      <c r="A10" s="24" t="s">
        <v>17</v>
      </c>
      <c r="B10" s="60">
        <v>10</v>
      </c>
      <c r="C10" s="61">
        <v>5</v>
      </c>
      <c r="D10" s="65">
        <v>28</v>
      </c>
      <c r="E10" s="27">
        <f t="shared" si="0"/>
        <v>14.333333333333334</v>
      </c>
      <c r="F10" s="30">
        <v>48</v>
      </c>
      <c r="G10" s="60">
        <v>7</v>
      </c>
      <c r="H10" s="60">
        <v>46</v>
      </c>
      <c r="I10" s="27">
        <f t="shared" si="3"/>
        <v>33.666666666666664</v>
      </c>
      <c r="J10" s="25">
        <v>10</v>
      </c>
      <c r="K10" s="30"/>
      <c r="L10" s="28">
        <v>84</v>
      </c>
      <c r="M10" s="29">
        <f t="shared" si="1"/>
        <v>31.333333333333332</v>
      </c>
      <c r="N10" s="25">
        <f>288/12</f>
        <v>24</v>
      </c>
      <c r="O10" s="30">
        <v>10</v>
      </c>
      <c r="P10" s="25">
        <f>419/12</f>
        <v>34.916666666666664</v>
      </c>
      <c r="Q10" s="69">
        <f t="shared" si="2"/>
        <v>22.972222222222218</v>
      </c>
    </row>
    <row r="11" spans="1:17" x14ac:dyDescent="0.25">
      <c r="A11" s="24" t="s">
        <v>18</v>
      </c>
      <c r="B11" s="60">
        <v>1</v>
      </c>
      <c r="C11" s="61">
        <v>1</v>
      </c>
      <c r="D11" s="65">
        <v>1</v>
      </c>
      <c r="E11" s="27">
        <f t="shared" si="0"/>
        <v>1</v>
      </c>
      <c r="F11" s="25">
        <v>1</v>
      </c>
      <c r="G11" s="25"/>
      <c r="H11" s="25">
        <v>1</v>
      </c>
      <c r="I11" s="27">
        <f t="shared" si="3"/>
        <v>0.66666666666666663</v>
      </c>
      <c r="J11" s="28"/>
      <c r="K11" s="28"/>
      <c r="L11" s="28"/>
      <c r="M11" s="29">
        <f t="shared" si="1"/>
        <v>0</v>
      </c>
      <c r="N11" s="30"/>
      <c r="O11" s="30"/>
      <c r="P11" s="25">
        <f>48/12</f>
        <v>4</v>
      </c>
      <c r="Q11" s="69">
        <f t="shared" si="2"/>
        <v>1.3333333333333333</v>
      </c>
    </row>
    <row r="12" spans="1:17" x14ac:dyDescent="0.25">
      <c r="A12" s="24" t="s">
        <v>19</v>
      </c>
      <c r="B12" s="60">
        <v>45</v>
      </c>
      <c r="C12" s="61">
        <v>35</v>
      </c>
      <c r="D12" s="65">
        <v>227</v>
      </c>
      <c r="E12" s="27">
        <f t="shared" si="0"/>
        <v>102.33333333333333</v>
      </c>
      <c r="F12" s="60">
        <v>82</v>
      </c>
      <c r="G12" s="66">
        <v>70</v>
      </c>
      <c r="H12" s="25">
        <v>307</v>
      </c>
      <c r="I12" s="27">
        <f t="shared" si="3"/>
        <v>153</v>
      </c>
      <c r="J12" s="25">
        <f>1800/36</f>
        <v>50</v>
      </c>
      <c r="K12" s="30">
        <f>3598/36</f>
        <v>99.944444444444443</v>
      </c>
      <c r="L12" s="30">
        <f>5679/36</f>
        <v>157.75</v>
      </c>
      <c r="M12" s="29">
        <f t="shared" si="1"/>
        <v>102.56481481481482</v>
      </c>
      <c r="N12" s="25">
        <f>3600/36</f>
        <v>100</v>
      </c>
      <c r="O12" s="30">
        <f>4494/36</f>
        <v>124.83333333333333</v>
      </c>
      <c r="P12" s="30">
        <f>10795/36</f>
        <v>299.86111111111109</v>
      </c>
      <c r="Q12" s="69">
        <f t="shared" si="2"/>
        <v>174.89814814814812</v>
      </c>
    </row>
    <row r="13" spans="1:17" x14ac:dyDescent="0.25">
      <c r="A13" s="39" t="s">
        <v>20</v>
      </c>
      <c r="B13" s="40">
        <v>5004000</v>
      </c>
      <c r="C13" s="41">
        <v>3474000</v>
      </c>
      <c r="D13" s="40">
        <v>23452600</v>
      </c>
      <c r="E13" s="27">
        <f t="shared" si="0"/>
        <v>10643533.333333334</v>
      </c>
      <c r="F13" s="40">
        <v>7454400</v>
      </c>
      <c r="G13" s="42">
        <v>5777800</v>
      </c>
      <c r="H13" s="40">
        <v>30656000</v>
      </c>
      <c r="I13" s="27">
        <f t="shared" si="3"/>
        <v>14629400</v>
      </c>
      <c r="J13" s="43">
        <v>5416000</v>
      </c>
      <c r="K13" s="43">
        <v>7915600</v>
      </c>
      <c r="L13" s="43">
        <v>13023000</v>
      </c>
      <c r="M13" s="29">
        <f t="shared" si="1"/>
        <v>8784866.666666666</v>
      </c>
      <c r="N13" s="43">
        <v>10784400</v>
      </c>
      <c r="O13" s="25">
        <v>11702800</v>
      </c>
      <c r="P13" s="25">
        <v>32264700</v>
      </c>
      <c r="Q13" s="69">
        <f t="shared" si="2"/>
        <v>18250633.333333332</v>
      </c>
    </row>
    <row r="14" spans="1:17" x14ac:dyDescent="0.25">
      <c r="A14" s="44" t="s">
        <v>21</v>
      </c>
      <c r="B14" s="60">
        <v>4</v>
      </c>
      <c r="C14" s="61">
        <v>4</v>
      </c>
      <c r="D14" s="60">
        <v>23</v>
      </c>
      <c r="E14" s="27">
        <f t="shared" si="0"/>
        <v>10.333333333333334</v>
      </c>
      <c r="F14" s="66">
        <v>12</v>
      </c>
      <c r="G14" s="30">
        <v>-2</v>
      </c>
      <c r="H14" s="25">
        <f>768/24</f>
        <v>32</v>
      </c>
      <c r="I14" s="27">
        <f t="shared" si="3"/>
        <v>14</v>
      </c>
      <c r="J14" s="25">
        <f>239/24</f>
        <v>9.9583333333333339</v>
      </c>
      <c r="K14" s="30">
        <f>239/24</f>
        <v>9.9583333333333339</v>
      </c>
      <c r="L14" s="30">
        <f>479/24</f>
        <v>19.958333333333332</v>
      </c>
      <c r="M14" s="29">
        <f t="shared" si="1"/>
        <v>13.291666666666666</v>
      </c>
      <c r="N14" s="25">
        <f>360/24</f>
        <v>15</v>
      </c>
      <c r="O14" s="30">
        <f>312/24</f>
        <v>13</v>
      </c>
      <c r="P14" s="30">
        <f>1752/24</f>
        <v>73</v>
      </c>
      <c r="Q14" s="69">
        <f t="shared" si="2"/>
        <v>33.666666666666664</v>
      </c>
    </row>
    <row r="15" spans="1:17" x14ac:dyDescent="0.25">
      <c r="A15" s="44" t="s">
        <v>22</v>
      </c>
      <c r="B15" s="60">
        <v>5</v>
      </c>
      <c r="C15" s="61">
        <v>2</v>
      </c>
      <c r="D15" s="60">
        <v>16</v>
      </c>
      <c r="E15" s="27">
        <f t="shared" si="0"/>
        <v>7.666666666666667</v>
      </c>
      <c r="F15" s="66">
        <v>6</v>
      </c>
      <c r="G15" s="25">
        <v>1</v>
      </c>
      <c r="H15" s="25">
        <f>300/12</f>
        <v>25</v>
      </c>
      <c r="I15" s="27">
        <f t="shared" si="3"/>
        <v>10.666666666666666</v>
      </c>
      <c r="J15" s="25">
        <v>10</v>
      </c>
      <c r="K15" s="28"/>
      <c r="L15" s="28"/>
      <c r="M15" s="29">
        <f t="shared" si="1"/>
        <v>3.3333333333333335</v>
      </c>
      <c r="N15" s="25">
        <f>60/12</f>
        <v>5</v>
      </c>
      <c r="O15" s="30">
        <f>120/12</f>
        <v>10</v>
      </c>
      <c r="P15" s="30">
        <f>504/12</f>
        <v>42</v>
      </c>
      <c r="Q15" s="69">
        <f t="shared" si="2"/>
        <v>19</v>
      </c>
    </row>
    <row r="16" spans="1:17" x14ac:dyDescent="0.25">
      <c r="A16" s="44" t="s">
        <v>23</v>
      </c>
      <c r="B16" s="62">
        <v>18</v>
      </c>
      <c r="C16" s="63">
        <v>10</v>
      </c>
      <c r="D16" s="62">
        <v>126</v>
      </c>
      <c r="E16" s="27">
        <f t="shared" si="0"/>
        <v>51.333333333333336</v>
      </c>
      <c r="F16" s="67">
        <v>22</v>
      </c>
      <c r="G16" s="67">
        <v>7</v>
      </c>
      <c r="H16" s="25">
        <f>900/6</f>
        <v>150</v>
      </c>
      <c r="I16" s="27">
        <f t="shared" si="3"/>
        <v>59.666666666666664</v>
      </c>
      <c r="J16" s="25">
        <f>162/6</f>
        <v>27</v>
      </c>
      <c r="K16" s="30">
        <f>120/6</f>
        <v>20</v>
      </c>
      <c r="L16" s="30">
        <v>20</v>
      </c>
      <c r="M16" s="29">
        <f t="shared" si="1"/>
        <v>22.333333333333332</v>
      </c>
      <c r="N16" s="25">
        <f>138/6</f>
        <v>23</v>
      </c>
      <c r="O16" s="30">
        <f>150/6</f>
        <v>25</v>
      </c>
      <c r="P16" s="30">
        <f>1110/6</f>
        <v>185</v>
      </c>
      <c r="Q16" s="69">
        <f t="shared" si="2"/>
        <v>77.666666666666671</v>
      </c>
    </row>
    <row r="17" spans="1:17" x14ac:dyDescent="0.25">
      <c r="A17" s="44" t="s">
        <v>24</v>
      </c>
      <c r="B17" s="62">
        <v>13</v>
      </c>
      <c r="C17" s="63">
        <v>6</v>
      </c>
      <c r="D17" s="62">
        <v>65</v>
      </c>
      <c r="E17" s="27">
        <f t="shared" si="0"/>
        <v>28</v>
      </c>
      <c r="F17" s="67">
        <v>17</v>
      </c>
      <c r="G17" s="30">
        <v>5</v>
      </c>
      <c r="H17" s="25">
        <f>330/6</f>
        <v>55</v>
      </c>
      <c r="I17" s="27">
        <f t="shared" si="3"/>
        <v>25.666666666666668</v>
      </c>
      <c r="J17" s="25">
        <v>10</v>
      </c>
      <c r="K17" s="30">
        <f>90/6</f>
        <v>15</v>
      </c>
      <c r="L17" s="28">
        <f>89/6</f>
        <v>14.833333333333334</v>
      </c>
      <c r="M17" s="29">
        <f t="shared" si="1"/>
        <v>13.277777777777779</v>
      </c>
      <c r="N17" s="25">
        <f>78/6</f>
        <v>13</v>
      </c>
      <c r="O17" s="30">
        <f>36/6</f>
        <v>6</v>
      </c>
      <c r="P17" s="30">
        <f>808/6</f>
        <v>134.66666666666666</v>
      </c>
      <c r="Q17" s="69">
        <f t="shared" si="2"/>
        <v>51.222222222222221</v>
      </c>
    </row>
    <row r="18" spans="1:17" x14ac:dyDescent="0.25">
      <c r="A18" s="44" t="s">
        <v>25</v>
      </c>
      <c r="B18" s="62">
        <v>5</v>
      </c>
      <c r="C18" s="63">
        <v>4</v>
      </c>
      <c r="D18" s="62">
        <v>55</v>
      </c>
      <c r="E18" s="27">
        <f t="shared" si="0"/>
        <v>21.333333333333332</v>
      </c>
      <c r="F18" s="67">
        <v>17</v>
      </c>
      <c r="G18" s="30">
        <v>5</v>
      </c>
      <c r="H18" s="25">
        <f>492/6</f>
        <v>82</v>
      </c>
      <c r="I18" s="27">
        <f t="shared" si="3"/>
        <v>34.666666666666664</v>
      </c>
      <c r="J18" s="25">
        <f>78/6</f>
        <v>13</v>
      </c>
      <c r="K18" s="30">
        <f>29/6</f>
        <v>4.833333333333333</v>
      </c>
      <c r="L18" s="30">
        <v>-1</v>
      </c>
      <c r="M18" s="29">
        <f t="shared" si="1"/>
        <v>5.6111111111111107</v>
      </c>
      <c r="N18" s="25">
        <f>180/6</f>
        <v>30</v>
      </c>
      <c r="O18" s="25">
        <f>180/6</f>
        <v>30</v>
      </c>
      <c r="P18" s="30"/>
      <c r="Q18" s="69">
        <f t="shared" si="2"/>
        <v>20</v>
      </c>
    </row>
    <row r="19" spans="1:17" x14ac:dyDescent="0.25">
      <c r="A19" s="45" t="s">
        <v>26</v>
      </c>
      <c r="B19" s="60">
        <v>4</v>
      </c>
      <c r="C19" s="61">
        <v>3</v>
      </c>
      <c r="D19" s="60">
        <v>33</v>
      </c>
      <c r="E19" s="27">
        <f t="shared" si="0"/>
        <v>13.333333333333334</v>
      </c>
      <c r="F19" s="30">
        <v>10</v>
      </c>
      <c r="G19" s="66">
        <v>3</v>
      </c>
      <c r="H19" s="25">
        <f>744/24</f>
        <v>31</v>
      </c>
      <c r="I19" s="27">
        <f t="shared" si="3"/>
        <v>14.666666666666666</v>
      </c>
      <c r="J19" s="28"/>
      <c r="K19" s="28"/>
      <c r="L19" s="28"/>
      <c r="M19" s="29">
        <f t="shared" si="1"/>
        <v>0</v>
      </c>
      <c r="N19" s="30"/>
      <c r="O19" s="25"/>
      <c r="P19" s="25"/>
      <c r="Q19" s="69">
        <f t="shared" si="2"/>
        <v>0</v>
      </c>
    </row>
    <row r="20" spans="1:17" x14ac:dyDescent="0.25">
      <c r="A20" s="39" t="s">
        <v>27</v>
      </c>
      <c r="B20" s="40">
        <v>2931000</v>
      </c>
      <c r="C20" s="41">
        <v>1723030</v>
      </c>
      <c r="D20" s="40">
        <v>19149240</v>
      </c>
      <c r="E20" s="27">
        <f t="shared" si="0"/>
        <v>7934423.333333333</v>
      </c>
      <c r="F20" s="40">
        <v>5046840</v>
      </c>
      <c r="G20" s="40">
        <v>1228390</v>
      </c>
      <c r="H20" s="40">
        <v>22944000</v>
      </c>
      <c r="I20" s="27">
        <f t="shared" si="3"/>
        <v>9739743.333333334</v>
      </c>
      <c r="J20" s="43">
        <v>4395550</v>
      </c>
      <c r="K20" s="43">
        <v>3135750</v>
      </c>
      <c r="L20" s="43">
        <v>3440850</v>
      </c>
      <c r="M20" s="29">
        <f t="shared" si="1"/>
        <v>3657383.3333333335</v>
      </c>
      <c r="N20" s="43">
        <v>5551500</v>
      </c>
      <c r="O20" s="25">
        <v>5406300</v>
      </c>
      <c r="P20" s="25">
        <v>26745180</v>
      </c>
      <c r="Q20" s="69">
        <f t="shared" si="2"/>
        <v>12567660</v>
      </c>
    </row>
    <row r="21" spans="1:17" x14ac:dyDescent="0.25">
      <c r="A21" s="44" t="s">
        <v>28</v>
      </c>
      <c r="B21" s="25">
        <v>2</v>
      </c>
      <c r="C21" s="25">
        <v>1</v>
      </c>
      <c r="D21" s="25">
        <v>1</v>
      </c>
      <c r="E21" s="27">
        <f t="shared" si="0"/>
        <v>1.3333333333333333</v>
      </c>
      <c r="F21" s="25">
        <v>2</v>
      </c>
      <c r="G21" s="30">
        <v>1</v>
      </c>
      <c r="H21" s="25">
        <v>2</v>
      </c>
      <c r="I21" s="27">
        <f t="shared" si="3"/>
        <v>1.6666666666666667</v>
      </c>
      <c r="J21" s="28">
        <v>3</v>
      </c>
      <c r="K21" s="28">
        <v>3</v>
      </c>
      <c r="L21" s="28">
        <v>3</v>
      </c>
      <c r="M21" s="29">
        <f t="shared" si="1"/>
        <v>3</v>
      </c>
      <c r="N21" s="30">
        <v>2</v>
      </c>
      <c r="O21" s="25">
        <v>3</v>
      </c>
      <c r="P21" s="60">
        <v>17</v>
      </c>
      <c r="Q21" s="69">
        <f t="shared" si="2"/>
        <v>7.333333333333333</v>
      </c>
    </row>
    <row r="22" spans="1:17" x14ac:dyDescent="0.25">
      <c r="A22" s="39" t="s">
        <v>29</v>
      </c>
      <c r="B22" s="40">
        <v>180000</v>
      </c>
      <c r="C22" s="46">
        <v>90000</v>
      </c>
      <c r="D22" s="40">
        <v>90000</v>
      </c>
      <c r="E22" s="27">
        <f t="shared" si="0"/>
        <v>120000</v>
      </c>
      <c r="F22" s="40">
        <v>180000</v>
      </c>
      <c r="G22" s="40">
        <v>90000</v>
      </c>
      <c r="H22" s="40">
        <v>180000</v>
      </c>
      <c r="I22" s="27">
        <f t="shared" si="3"/>
        <v>150000</v>
      </c>
      <c r="J22" s="43">
        <v>270000</v>
      </c>
      <c r="K22" s="43">
        <v>270000</v>
      </c>
      <c r="L22" s="43">
        <v>270000</v>
      </c>
      <c r="M22" s="29">
        <f t="shared" si="1"/>
        <v>270000</v>
      </c>
      <c r="N22" s="43">
        <v>180000</v>
      </c>
      <c r="O22" s="40">
        <v>270000</v>
      </c>
      <c r="P22" s="25">
        <v>1530000</v>
      </c>
      <c r="Q22" s="69">
        <f t="shared" si="2"/>
        <v>660000</v>
      </c>
    </row>
    <row r="23" spans="1:17" x14ac:dyDescent="0.25">
      <c r="A23" s="47" t="s">
        <v>30</v>
      </c>
      <c r="B23" s="48">
        <f>SUM(B13,B20,B22)</f>
        <v>8115000</v>
      </c>
      <c r="C23" s="49">
        <f>SUM(C13,C20,C22)</f>
        <v>5287030</v>
      </c>
      <c r="D23" s="48">
        <f>SUM(D13,D20,D22)</f>
        <v>42691840</v>
      </c>
      <c r="E23" s="50">
        <f t="shared" si="0"/>
        <v>18697956.666666668</v>
      </c>
      <c r="F23" s="48">
        <f>SUM(F13,F20,F22)</f>
        <v>12681240</v>
      </c>
      <c r="G23" s="48">
        <f>SUM(G13,G20,G22)</f>
        <v>7096190</v>
      </c>
      <c r="H23" s="48">
        <f>SUM(H13,H20,H22)</f>
        <v>53780000</v>
      </c>
      <c r="I23" s="50">
        <f t="shared" si="3"/>
        <v>24519143.333333332</v>
      </c>
      <c r="J23" s="48">
        <f>SUM(J13,J20,J22)</f>
        <v>10081550</v>
      </c>
      <c r="K23" s="48">
        <f>SUM(K13,K20,K22)</f>
        <v>11321350</v>
      </c>
      <c r="L23" s="48">
        <f>SUM(L13,L20,L22)</f>
        <v>16733850</v>
      </c>
      <c r="M23" s="51">
        <f t="shared" si="1"/>
        <v>12712250</v>
      </c>
      <c r="N23" s="48">
        <f>SUM(N13,N20,N22)</f>
        <v>16515900</v>
      </c>
      <c r="O23" s="48">
        <f>SUM(O13,O20,O22)</f>
        <v>17379100</v>
      </c>
      <c r="P23" s="48">
        <f>SUM(P13,P20,P22)</f>
        <v>60539880</v>
      </c>
      <c r="Q23" s="69">
        <f t="shared" si="2"/>
        <v>31478293.333333332</v>
      </c>
    </row>
    <row r="31" spans="1:17" x14ac:dyDescent="0.25">
      <c r="O31" s="68"/>
    </row>
  </sheetData>
  <mergeCells count="18">
    <mergeCell ref="J7:L7"/>
    <mergeCell ref="N7:P7"/>
    <mergeCell ref="A3:A7"/>
    <mergeCell ref="B3:Q3"/>
    <mergeCell ref="B4:E4"/>
    <mergeCell ref="F4:I4"/>
    <mergeCell ref="J4:M4"/>
    <mergeCell ref="N4:Q4"/>
    <mergeCell ref="B5:E5"/>
    <mergeCell ref="F5:I5"/>
    <mergeCell ref="J5:M5"/>
    <mergeCell ref="N5:Q5"/>
    <mergeCell ref="E6:E7"/>
    <mergeCell ref="I6:I7"/>
    <mergeCell ref="M6:M7"/>
    <mergeCell ref="Q6:Q7"/>
    <mergeCell ref="B7:D7"/>
    <mergeCell ref="F7:H7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2" workbookViewId="0">
      <selection activeCell="O12" sqref="O12"/>
    </sheetView>
  </sheetViews>
  <sheetFormatPr defaultRowHeight="15" x14ac:dyDescent="0.25"/>
  <cols>
    <col min="1" max="1" width="26.7109375" style="3" customWidth="1"/>
    <col min="2" max="3" width="12.28515625" style="3" customWidth="1"/>
    <col min="4" max="4" width="12.5703125" style="1" customWidth="1"/>
    <col min="5" max="5" width="12.28515625" style="3" customWidth="1"/>
    <col min="6" max="6" width="11.42578125" style="3" customWidth="1"/>
    <col min="7" max="8" width="12.28515625" style="3" customWidth="1"/>
    <col min="9" max="9" width="11.28515625" style="3" customWidth="1"/>
    <col min="10" max="13" width="12.28515625" style="3" customWidth="1"/>
    <col min="14" max="14" width="12.28515625" style="59" customWidth="1"/>
    <col min="15" max="17" width="12.28515625" style="3" customWidth="1"/>
    <col min="18" max="18" width="9.140625" style="3" customWidth="1"/>
    <col min="19" max="16384" width="9.140625" style="3"/>
  </cols>
  <sheetData>
    <row r="1" spans="1:17" x14ac:dyDescent="0.25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</row>
    <row r="2" spans="1:17" x14ac:dyDescent="0.25">
      <c r="A2" s="4"/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</row>
    <row r="3" spans="1:17" ht="15.75" customHeight="1" x14ac:dyDescent="0.25">
      <c r="A3" s="71" t="s">
        <v>0</v>
      </c>
      <c r="B3" s="73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x14ac:dyDescent="0.25">
      <c r="A4" s="72"/>
      <c r="B4" s="76" t="s">
        <v>6</v>
      </c>
      <c r="C4" s="77"/>
      <c r="D4" s="77"/>
      <c r="E4" s="78"/>
      <c r="F4" s="76" t="s">
        <v>6</v>
      </c>
      <c r="G4" s="77"/>
      <c r="H4" s="77"/>
      <c r="I4" s="78"/>
      <c r="J4" s="76" t="s">
        <v>7</v>
      </c>
      <c r="K4" s="77"/>
      <c r="L4" s="77"/>
      <c r="M4" s="78"/>
      <c r="N4" s="76" t="s">
        <v>7</v>
      </c>
      <c r="O4" s="77"/>
      <c r="P4" s="77"/>
      <c r="Q4" s="78"/>
    </row>
    <row r="5" spans="1:17" x14ac:dyDescent="0.25">
      <c r="A5" s="72"/>
      <c r="B5" s="79" t="s">
        <v>8</v>
      </c>
      <c r="C5" s="80"/>
      <c r="D5" s="80"/>
      <c r="E5" s="81"/>
      <c r="F5" s="79" t="s">
        <v>9</v>
      </c>
      <c r="G5" s="80"/>
      <c r="H5" s="80"/>
      <c r="I5" s="81"/>
      <c r="J5" s="79" t="s">
        <v>10</v>
      </c>
      <c r="K5" s="80"/>
      <c r="L5" s="80"/>
      <c r="M5" s="81"/>
      <c r="N5" s="79" t="s">
        <v>11</v>
      </c>
      <c r="O5" s="80"/>
      <c r="P5" s="80"/>
      <c r="Q5" s="81"/>
    </row>
    <row r="6" spans="1:17" x14ac:dyDescent="0.25">
      <c r="A6" s="72"/>
      <c r="B6" s="7">
        <v>43556</v>
      </c>
      <c r="C6" s="7">
        <v>43586</v>
      </c>
      <c r="D6" s="7">
        <v>43617</v>
      </c>
      <c r="E6" s="82" t="s">
        <v>13</v>
      </c>
      <c r="F6" s="7">
        <v>43556</v>
      </c>
      <c r="G6" s="7">
        <v>43586</v>
      </c>
      <c r="H6" s="7">
        <v>43617</v>
      </c>
      <c r="I6" s="82" t="s">
        <v>13</v>
      </c>
      <c r="J6" s="7">
        <v>43556</v>
      </c>
      <c r="K6" s="7">
        <v>43586</v>
      </c>
      <c r="L6" s="7">
        <v>43617</v>
      </c>
      <c r="M6" s="82" t="s">
        <v>13</v>
      </c>
      <c r="N6" s="7">
        <v>43556</v>
      </c>
      <c r="O6" s="7">
        <v>43586</v>
      </c>
      <c r="P6" s="7">
        <v>43617</v>
      </c>
      <c r="Q6" s="82" t="s">
        <v>13</v>
      </c>
    </row>
    <row r="7" spans="1:17" x14ac:dyDescent="0.25">
      <c r="A7" s="72"/>
      <c r="B7" s="85" t="s">
        <v>14</v>
      </c>
      <c r="C7" s="86"/>
      <c r="D7" s="87"/>
      <c r="E7" s="83"/>
      <c r="F7" s="85" t="s">
        <v>14</v>
      </c>
      <c r="G7" s="86"/>
      <c r="H7" s="87"/>
      <c r="I7" s="83"/>
      <c r="J7" s="85" t="s">
        <v>14</v>
      </c>
      <c r="K7" s="86"/>
      <c r="L7" s="87"/>
      <c r="M7" s="83"/>
      <c r="N7" s="85" t="s">
        <v>14</v>
      </c>
      <c r="O7" s="86"/>
      <c r="P7" s="87"/>
      <c r="Q7" s="84"/>
    </row>
    <row r="8" spans="1:17" x14ac:dyDescent="0.25">
      <c r="A8" s="9" t="s">
        <v>15</v>
      </c>
      <c r="B8" s="10"/>
      <c r="C8" s="11">
        <f>200/10</f>
        <v>20</v>
      </c>
      <c r="D8" s="64">
        <v>8</v>
      </c>
      <c r="E8" s="12">
        <f t="shared" ref="E8:E23" si="0">(D8+C8+B8)/3</f>
        <v>9.3333333333333339</v>
      </c>
      <c r="F8" s="10"/>
      <c r="G8" s="13">
        <v>38</v>
      </c>
      <c r="H8" s="10"/>
      <c r="I8" s="12">
        <f>(F8+G8+H8)/3</f>
        <v>12.666666666666666</v>
      </c>
      <c r="J8" s="10"/>
      <c r="K8" s="13">
        <v>10</v>
      </c>
      <c r="L8" s="14"/>
      <c r="M8" s="15">
        <f t="shared" ref="M8:M23" si="1">(L8+K8+J8)/3</f>
        <v>3.3333333333333335</v>
      </c>
      <c r="N8" s="10">
        <v>45</v>
      </c>
      <c r="O8" s="13"/>
      <c r="P8" s="10"/>
      <c r="Q8" s="69">
        <f t="shared" ref="Q8:Q23" si="2">(P8+O8+N8)/3</f>
        <v>15</v>
      </c>
    </row>
    <row r="9" spans="1:17" x14ac:dyDescent="0.25">
      <c r="A9" s="24" t="s">
        <v>16</v>
      </c>
      <c r="B9" s="60"/>
      <c r="C9" s="26">
        <f>12/12</f>
        <v>1</v>
      </c>
      <c r="D9" s="65">
        <v>1</v>
      </c>
      <c r="E9" s="27">
        <f t="shared" si="0"/>
        <v>0.66666666666666663</v>
      </c>
      <c r="F9" s="25"/>
      <c r="G9" s="25"/>
      <c r="H9" s="25"/>
      <c r="I9" s="27">
        <f t="shared" ref="I9:I23" si="3">(H9+G9+F9)/3</f>
        <v>0</v>
      </c>
      <c r="J9" s="28"/>
      <c r="K9" s="28"/>
      <c r="L9" s="28"/>
      <c r="M9" s="29">
        <f t="shared" si="1"/>
        <v>0</v>
      </c>
      <c r="N9" s="30">
        <v>2</v>
      </c>
      <c r="O9" s="25"/>
      <c r="P9" s="25"/>
      <c r="Q9" s="69">
        <f t="shared" si="2"/>
        <v>0.66666666666666663</v>
      </c>
    </row>
    <row r="10" spans="1:17" x14ac:dyDescent="0.25">
      <c r="A10" s="24" t="s">
        <v>17</v>
      </c>
      <c r="B10" s="60"/>
      <c r="C10" s="61">
        <f>180/12</f>
        <v>15</v>
      </c>
      <c r="D10" s="65">
        <f>72/12</f>
        <v>6</v>
      </c>
      <c r="E10" s="27">
        <f t="shared" si="0"/>
        <v>7</v>
      </c>
      <c r="F10" s="30"/>
      <c r="G10" s="60">
        <f>576/12</f>
        <v>48</v>
      </c>
      <c r="H10" s="60"/>
      <c r="I10" s="27">
        <f t="shared" si="3"/>
        <v>16</v>
      </c>
      <c r="J10" s="25">
        <v>10</v>
      </c>
      <c r="K10" s="30">
        <v>10</v>
      </c>
      <c r="L10" s="28"/>
      <c r="M10" s="29">
        <f t="shared" si="1"/>
        <v>6.666666666666667</v>
      </c>
      <c r="N10" s="25">
        <f>300/12</f>
        <v>25</v>
      </c>
      <c r="O10" s="30"/>
      <c r="P10" s="25">
        <f>96/12</f>
        <v>8</v>
      </c>
      <c r="Q10" s="69">
        <f t="shared" si="2"/>
        <v>11</v>
      </c>
    </row>
    <row r="11" spans="1:17" x14ac:dyDescent="0.25">
      <c r="A11" s="24" t="s">
        <v>18</v>
      </c>
      <c r="B11" s="60"/>
      <c r="C11" s="61">
        <v>1</v>
      </c>
      <c r="D11" s="65"/>
      <c r="E11" s="27">
        <f t="shared" si="0"/>
        <v>0.33333333333333331</v>
      </c>
      <c r="F11" s="25"/>
      <c r="G11" s="25">
        <v>1</v>
      </c>
      <c r="H11" s="25"/>
      <c r="I11" s="27">
        <f t="shared" si="3"/>
        <v>0.33333333333333331</v>
      </c>
      <c r="J11" s="28"/>
      <c r="K11" s="28"/>
      <c r="L11" s="28"/>
      <c r="M11" s="29">
        <f t="shared" si="1"/>
        <v>0</v>
      </c>
      <c r="N11" s="30">
        <v>2</v>
      </c>
      <c r="O11" s="30"/>
      <c r="P11" s="25"/>
      <c r="Q11" s="69">
        <f t="shared" si="2"/>
        <v>0.66666666666666663</v>
      </c>
    </row>
    <row r="12" spans="1:17" x14ac:dyDescent="0.25">
      <c r="A12" s="24" t="s">
        <v>19</v>
      </c>
      <c r="B12" s="60">
        <v>-9</v>
      </c>
      <c r="C12" s="61">
        <f>4356/36</f>
        <v>121</v>
      </c>
      <c r="D12" s="65"/>
      <c r="E12" s="27">
        <f t="shared" si="0"/>
        <v>37.333333333333336</v>
      </c>
      <c r="F12" s="25"/>
      <c r="G12" s="66">
        <f>5580/36</f>
        <v>155</v>
      </c>
      <c r="H12" s="25">
        <f>1080/36</f>
        <v>30</v>
      </c>
      <c r="I12" s="27">
        <f t="shared" si="3"/>
        <v>61.666666666666664</v>
      </c>
      <c r="J12" s="25">
        <f>9360/36</f>
        <v>260</v>
      </c>
      <c r="K12" s="30">
        <v>-9</v>
      </c>
      <c r="L12" s="30">
        <f>900/36</f>
        <v>25</v>
      </c>
      <c r="M12" s="29">
        <f t="shared" si="1"/>
        <v>92</v>
      </c>
      <c r="N12" s="25">
        <f>9000/36</f>
        <v>250</v>
      </c>
      <c r="O12" s="30">
        <f>7198/36</f>
        <v>199.94444444444446</v>
      </c>
      <c r="P12" s="30">
        <v>-3</v>
      </c>
      <c r="Q12" s="69">
        <f t="shared" si="2"/>
        <v>148.9814814814815</v>
      </c>
    </row>
    <row r="13" spans="1:17" x14ac:dyDescent="0.25">
      <c r="A13" s="39" t="s">
        <v>20</v>
      </c>
      <c r="B13" s="40">
        <v>-19800</v>
      </c>
      <c r="C13" s="41">
        <v>12801200</v>
      </c>
      <c r="D13" s="40">
        <v>1338600</v>
      </c>
      <c r="E13" s="27">
        <f t="shared" si="0"/>
        <v>4706666.666666667</v>
      </c>
      <c r="F13" s="40"/>
      <c r="G13" s="42">
        <v>18888800</v>
      </c>
      <c r="H13" s="40">
        <v>2376000</v>
      </c>
      <c r="I13" s="27">
        <f t="shared" si="3"/>
        <v>7088266.666666667</v>
      </c>
      <c r="J13" s="43">
        <v>21348000</v>
      </c>
      <c r="K13" s="43">
        <v>1436200</v>
      </c>
      <c r="L13" s="43">
        <v>1980000</v>
      </c>
      <c r="M13" s="29">
        <f t="shared" si="1"/>
        <v>8254733.333333333</v>
      </c>
      <c r="N13" s="43">
        <v>26208000</v>
      </c>
      <c r="O13" s="25">
        <v>15835600</v>
      </c>
      <c r="P13" s="25">
        <v>598200</v>
      </c>
      <c r="Q13" s="69">
        <f t="shared" si="2"/>
        <v>14213933.333333334</v>
      </c>
    </row>
    <row r="14" spans="1:17" x14ac:dyDescent="0.25">
      <c r="A14" s="44" t="s">
        <v>21</v>
      </c>
      <c r="B14" s="60">
        <f>696/24</f>
        <v>29</v>
      </c>
      <c r="C14" s="61"/>
      <c r="D14" s="60"/>
      <c r="E14" s="27">
        <f t="shared" si="0"/>
        <v>9.6666666666666661</v>
      </c>
      <c r="F14" s="66">
        <f>864/24</f>
        <v>36</v>
      </c>
      <c r="G14" s="30"/>
      <c r="H14" s="25"/>
      <c r="I14" s="27">
        <f t="shared" si="3"/>
        <v>12</v>
      </c>
      <c r="J14" s="25"/>
      <c r="K14" s="30">
        <v>-2</v>
      </c>
      <c r="L14" s="30"/>
      <c r="M14" s="29">
        <f t="shared" si="1"/>
        <v>-0.66666666666666663</v>
      </c>
      <c r="N14" s="25">
        <v>-2</v>
      </c>
      <c r="O14" s="30"/>
      <c r="P14" s="30">
        <v>-1</v>
      </c>
      <c r="Q14" s="69">
        <f t="shared" si="2"/>
        <v>-1</v>
      </c>
    </row>
    <row r="15" spans="1:17" x14ac:dyDescent="0.25">
      <c r="A15" s="44" t="s">
        <v>22</v>
      </c>
      <c r="B15" s="60"/>
      <c r="C15" s="61"/>
      <c r="D15" s="60"/>
      <c r="E15" s="27">
        <f t="shared" si="0"/>
        <v>0</v>
      </c>
      <c r="F15" s="66"/>
      <c r="G15" s="25"/>
      <c r="H15" s="25"/>
      <c r="I15" s="27">
        <f t="shared" si="3"/>
        <v>0</v>
      </c>
      <c r="J15" s="25"/>
      <c r="K15" s="28"/>
      <c r="L15" s="28"/>
      <c r="M15" s="29">
        <f t="shared" si="1"/>
        <v>0</v>
      </c>
      <c r="N15" s="25"/>
      <c r="O15" s="30">
        <f>660/6</f>
        <v>110</v>
      </c>
      <c r="P15" s="30"/>
      <c r="Q15" s="69">
        <f t="shared" si="2"/>
        <v>36.666666666666664</v>
      </c>
    </row>
    <row r="16" spans="1:17" x14ac:dyDescent="0.25">
      <c r="A16" s="44" t="s">
        <v>23</v>
      </c>
      <c r="B16" s="62">
        <f>510/6</f>
        <v>85</v>
      </c>
      <c r="C16" s="63">
        <f>600/6</f>
        <v>100</v>
      </c>
      <c r="D16" s="62">
        <f>150/6</f>
        <v>25</v>
      </c>
      <c r="E16" s="27">
        <f t="shared" si="0"/>
        <v>70</v>
      </c>
      <c r="F16" s="67">
        <v>100</v>
      </c>
      <c r="G16" s="67">
        <f>300/6</f>
        <v>50</v>
      </c>
      <c r="H16" s="25">
        <f>90/6</f>
        <v>15</v>
      </c>
      <c r="I16" s="27">
        <f t="shared" si="3"/>
        <v>55</v>
      </c>
      <c r="J16" s="25"/>
      <c r="K16" s="30">
        <f>629/6</f>
        <v>104.83333333333333</v>
      </c>
      <c r="L16" s="30">
        <f>30/6</f>
        <v>5</v>
      </c>
      <c r="M16" s="29">
        <f t="shared" si="1"/>
        <v>36.611111111111107</v>
      </c>
      <c r="N16" s="25"/>
      <c r="O16" s="30">
        <f>2308/6</f>
        <v>384.66666666666669</v>
      </c>
      <c r="P16" s="30">
        <f>56/6</f>
        <v>9.3333333333333339</v>
      </c>
      <c r="Q16" s="69">
        <f t="shared" si="2"/>
        <v>131.33333333333334</v>
      </c>
    </row>
    <row r="17" spans="1:17" x14ac:dyDescent="0.25">
      <c r="A17" s="44" t="s">
        <v>24</v>
      </c>
      <c r="B17" s="62">
        <f>330/6</f>
        <v>55</v>
      </c>
      <c r="C17" s="63"/>
      <c r="D17" s="62">
        <f>108/6</f>
        <v>18</v>
      </c>
      <c r="E17" s="27">
        <f t="shared" si="0"/>
        <v>24.333333333333332</v>
      </c>
      <c r="F17" s="67">
        <f>480/6</f>
        <v>80</v>
      </c>
      <c r="G17" s="30"/>
      <c r="H17" s="25">
        <f>30/6</f>
        <v>5</v>
      </c>
      <c r="I17" s="27">
        <f t="shared" si="3"/>
        <v>28.333333333333332</v>
      </c>
      <c r="J17" s="25">
        <f>780/6</f>
        <v>130</v>
      </c>
      <c r="K17" s="30">
        <f>180/6</f>
        <v>30</v>
      </c>
      <c r="L17" s="28"/>
      <c r="M17" s="29">
        <f t="shared" si="1"/>
        <v>53.333333333333336</v>
      </c>
      <c r="N17" s="25"/>
      <c r="O17" s="30"/>
      <c r="P17" s="30">
        <v>10</v>
      </c>
      <c r="Q17" s="69">
        <f t="shared" si="2"/>
        <v>3.3333333333333335</v>
      </c>
    </row>
    <row r="18" spans="1:17" x14ac:dyDescent="0.25">
      <c r="A18" s="44" t="s">
        <v>25</v>
      </c>
      <c r="B18" s="62"/>
      <c r="C18" s="63"/>
      <c r="D18" s="62"/>
      <c r="E18" s="27">
        <f t="shared" si="0"/>
        <v>0</v>
      </c>
      <c r="F18" s="67">
        <f>360/6</f>
        <v>60</v>
      </c>
      <c r="G18" s="30"/>
      <c r="H18" s="25"/>
      <c r="I18" s="27">
        <f t="shared" si="3"/>
        <v>20</v>
      </c>
      <c r="J18" s="25"/>
      <c r="K18" s="30"/>
      <c r="L18" s="30"/>
      <c r="M18" s="29">
        <f t="shared" si="1"/>
        <v>0</v>
      </c>
      <c r="N18" s="25">
        <v>-3</v>
      </c>
      <c r="O18" s="25"/>
      <c r="P18" s="30"/>
      <c r="Q18" s="69">
        <f t="shared" si="2"/>
        <v>-1</v>
      </c>
    </row>
    <row r="19" spans="1:17" x14ac:dyDescent="0.25">
      <c r="A19" s="45" t="s">
        <v>26</v>
      </c>
      <c r="B19" s="60">
        <f>480/24</f>
        <v>20</v>
      </c>
      <c r="C19" s="61"/>
      <c r="D19" s="60"/>
      <c r="E19" s="27">
        <f t="shared" si="0"/>
        <v>6.666666666666667</v>
      </c>
      <c r="F19" s="30">
        <f>480/24</f>
        <v>20</v>
      </c>
      <c r="G19" s="66"/>
      <c r="H19" s="25"/>
      <c r="I19" s="27">
        <f t="shared" si="3"/>
        <v>6.666666666666667</v>
      </c>
      <c r="J19" s="28"/>
      <c r="K19" s="28"/>
      <c r="L19" s="28"/>
      <c r="M19" s="29">
        <f t="shared" si="1"/>
        <v>0</v>
      </c>
      <c r="N19" s="30"/>
      <c r="O19" s="25"/>
      <c r="P19" s="25"/>
      <c r="Q19" s="69">
        <f t="shared" si="2"/>
        <v>0</v>
      </c>
    </row>
    <row r="20" spans="1:17" x14ac:dyDescent="0.25">
      <c r="A20" s="39" t="s">
        <v>27</v>
      </c>
      <c r="B20" s="40">
        <v>11230500</v>
      </c>
      <c r="C20" s="41">
        <v>6270000</v>
      </c>
      <c r="D20" s="40">
        <v>2636700</v>
      </c>
      <c r="E20" s="27">
        <f t="shared" si="0"/>
        <v>6712400</v>
      </c>
      <c r="F20" s="40">
        <v>18258000</v>
      </c>
      <c r="G20" s="40">
        <v>3135000</v>
      </c>
      <c r="H20" s="40">
        <v>1237500</v>
      </c>
      <c r="I20" s="27">
        <f t="shared" si="3"/>
        <v>7543500</v>
      </c>
      <c r="J20" s="43">
        <v>7722000</v>
      </c>
      <c r="K20" s="43">
        <v>8349550</v>
      </c>
      <c r="L20" s="43">
        <v>313500</v>
      </c>
      <c r="M20" s="29">
        <f t="shared" si="1"/>
        <v>5461683.333333333</v>
      </c>
      <c r="N20" s="43">
        <v>-40000</v>
      </c>
      <c r="O20" s="25">
        <v>27167800</v>
      </c>
      <c r="P20" s="25">
        <v>1197350</v>
      </c>
      <c r="Q20" s="69">
        <f t="shared" si="2"/>
        <v>9441716.666666666</v>
      </c>
    </row>
    <row r="21" spans="1:17" x14ac:dyDescent="0.25">
      <c r="A21" s="44" t="s">
        <v>28</v>
      </c>
      <c r="B21" s="25">
        <v>2</v>
      </c>
      <c r="C21" s="25">
        <v>5</v>
      </c>
      <c r="D21" s="25">
        <v>1</v>
      </c>
      <c r="E21" s="27">
        <f t="shared" si="0"/>
        <v>2.6666666666666665</v>
      </c>
      <c r="F21" s="25">
        <v>2</v>
      </c>
      <c r="G21" s="30"/>
      <c r="H21" s="25">
        <v>2</v>
      </c>
      <c r="I21" s="27">
        <f t="shared" si="3"/>
        <v>1.3333333333333333</v>
      </c>
      <c r="J21" s="28">
        <v>10</v>
      </c>
      <c r="K21" s="28"/>
      <c r="L21" s="28">
        <v>1</v>
      </c>
      <c r="M21" s="29">
        <f t="shared" si="1"/>
        <v>3.6666666666666665</v>
      </c>
      <c r="N21" s="30">
        <v>15</v>
      </c>
      <c r="O21" s="25">
        <v>-1</v>
      </c>
      <c r="P21" s="60"/>
      <c r="Q21" s="69">
        <f t="shared" si="2"/>
        <v>4.666666666666667</v>
      </c>
    </row>
    <row r="22" spans="1:17" x14ac:dyDescent="0.25">
      <c r="A22" s="39" t="s">
        <v>29</v>
      </c>
      <c r="B22" s="40">
        <v>180000</v>
      </c>
      <c r="C22" s="46">
        <v>450000</v>
      </c>
      <c r="D22" s="40">
        <v>90000</v>
      </c>
      <c r="E22" s="27">
        <f t="shared" si="0"/>
        <v>240000</v>
      </c>
      <c r="F22" s="40">
        <v>180000</v>
      </c>
      <c r="G22" s="40"/>
      <c r="H22" s="40">
        <v>180000</v>
      </c>
      <c r="I22" s="27">
        <f t="shared" si="3"/>
        <v>120000</v>
      </c>
      <c r="J22" s="43">
        <v>900000</v>
      </c>
      <c r="K22" s="43"/>
      <c r="L22" s="43">
        <v>90000</v>
      </c>
      <c r="M22" s="29">
        <f t="shared" si="1"/>
        <v>330000</v>
      </c>
      <c r="N22" s="43">
        <v>1350000</v>
      </c>
      <c r="O22" s="40">
        <v>-1500</v>
      </c>
      <c r="P22" s="25"/>
      <c r="Q22" s="69">
        <f t="shared" si="2"/>
        <v>449500</v>
      </c>
    </row>
    <row r="23" spans="1:17" x14ac:dyDescent="0.25">
      <c r="A23" s="47" t="s">
        <v>30</v>
      </c>
      <c r="B23" s="48">
        <f>SUM(B13,B20,B22)</f>
        <v>11390700</v>
      </c>
      <c r="C23" s="49">
        <f>SUM(C13,C20,C22)</f>
        <v>19521200</v>
      </c>
      <c r="D23" s="48">
        <f>SUM(D13,D20,D22)</f>
        <v>4065300</v>
      </c>
      <c r="E23" s="50">
        <f t="shared" si="0"/>
        <v>11659066.666666666</v>
      </c>
      <c r="F23" s="48">
        <f>SUM(F13,F20,F22)</f>
        <v>18438000</v>
      </c>
      <c r="G23" s="48">
        <f>SUM(G13,G20,G22)</f>
        <v>22023800</v>
      </c>
      <c r="H23" s="48">
        <f>SUM(H13,H20,H22)</f>
        <v>3793500</v>
      </c>
      <c r="I23" s="50">
        <f t="shared" si="3"/>
        <v>14751766.666666666</v>
      </c>
      <c r="J23" s="48">
        <f>SUM(J13,J20,J22)</f>
        <v>29970000</v>
      </c>
      <c r="K23" s="48">
        <f>SUM(K13,K20,K22)</f>
        <v>9785750</v>
      </c>
      <c r="L23" s="48">
        <f>SUM(L13,L20,L22)</f>
        <v>2383500</v>
      </c>
      <c r="M23" s="51">
        <f t="shared" si="1"/>
        <v>14046416.666666666</v>
      </c>
      <c r="N23" s="48">
        <f>SUM(N13,N20,N22)</f>
        <v>27518000</v>
      </c>
      <c r="O23" s="48">
        <f>SUM(O13,O20,O22)</f>
        <v>43001900</v>
      </c>
      <c r="P23" s="48">
        <f>SUM(P13,P20,P22)</f>
        <v>1795550</v>
      </c>
      <c r="Q23" s="69">
        <f t="shared" si="2"/>
        <v>24105150</v>
      </c>
    </row>
    <row r="27" spans="1:17" x14ac:dyDescent="0.25">
      <c r="P27" s="3" t="s">
        <v>32</v>
      </c>
    </row>
    <row r="29" spans="1:17" x14ac:dyDescent="0.25">
      <c r="M29" s="68"/>
    </row>
    <row r="30" spans="1:17" x14ac:dyDescent="0.25">
      <c r="F30" s="3" t="s">
        <v>31</v>
      </c>
    </row>
    <row r="31" spans="1:17" x14ac:dyDescent="0.25">
      <c r="O31" s="68"/>
    </row>
  </sheetData>
  <mergeCells count="18">
    <mergeCell ref="J7:L7"/>
    <mergeCell ref="N7:P7"/>
    <mergeCell ref="A3:A7"/>
    <mergeCell ref="B3:Q3"/>
    <mergeCell ref="B4:E4"/>
    <mergeCell ref="F4:I4"/>
    <mergeCell ref="J4:M4"/>
    <mergeCell ref="N4:Q4"/>
    <mergeCell ref="B5:E5"/>
    <mergeCell ref="F5:I5"/>
    <mergeCell ref="J5:M5"/>
    <mergeCell ref="N5:Q5"/>
    <mergeCell ref="E6:E7"/>
    <mergeCell ref="I6:I7"/>
    <mergeCell ref="M6:M7"/>
    <mergeCell ref="Q6:Q7"/>
    <mergeCell ref="B7:D7"/>
    <mergeCell ref="F7:H7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A4" workbookViewId="0">
      <selection activeCell="H27" sqref="A1:XFD1048576"/>
    </sheetView>
  </sheetViews>
  <sheetFormatPr defaultRowHeight="15" x14ac:dyDescent="0.25"/>
  <cols>
    <col min="1" max="1" width="26.7109375" style="3" customWidth="1"/>
    <col min="2" max="3" width="12.28515625" style="3" customWidth="1"/>
    <col min="4" max="4" width="11.28515625" style="3" customWidth="1"/>
    <col min="5" max="5" width="12.28515625" style="3" customWidth="1"/>
    <col min="6" max="6" width="11.42578125" style="3" customWidth="1"/>
    <col min="7" max="8" width="12.28515625" style="3" customWidth="1"/>
    <col min="9" max="9" width="11.28515625" style="3" customWidth="1"/>
    <col min="10" max="13" width="12.28515625" style="3" customWidth="1"/>
    <col min="14" max="14" width="12.28515625" style="59" customWidth="1"/>
    <col min="15" max="18" width="12.28515625" style="3" customWidth="1"/>
    <col min="19" max="21" width="15.7109375" style="3" customWidth="1"/>
    <col min="22" max="24" width="17" style="3" customWidth="1"/>
    <col min="25" max="25" width="18.42578125" style="3" customWidth="1"/>
    <col min="26" max="26" width="16.28515625" style="3" hidden="1" customWidth="1"/>
    <col min="27" max="27" width="14.85546875" style="3" customWidth="1"/>
    <col min="28" max="28" width="9.140625" style="3" customWidth="1"/>
    <col min="29" max="16384" width="9.140625" style="3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</row>
    <row r="2" spans="1:27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</row>
    <row r="3" spans="1:27" x14ac:dyDescent="0.25">
      <c r="A3" s="71" t="s">
        <v>0</v>
      </c>
      <c r="B3" s="73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5"/>
      <c r="S3" s="88" t="s">
        <v>2</v>
      </c>
      <c r="T3" s="88" t="s">
        <v>3</v>
      </c>
      <c r="U3" s="91" t="s">
        <v>4</v>
      </c>
      <c r="V3" s="88" t="s">
        <v>2</v>
      </c>
      <c r="W3" s="88" t="s">
        <v>3</v>
      </c>
      <c r="X3" s="91" t="s">
        <v>5</v>
      </c>
      <c r="Y3" s="88" t="s">
        <v>2</v>
      </c>
      <c r="Z3" s="88" t="s">
        <v>3</v>
      </c>
      <c r="AA3" s="88" t="s">
        <v>3</v>
      </c>
    </row>
    <row r="4" spans="1:27" x14ac:dyDescent="0.25">
      <c r="A4" s="72"/>
      <c r="B4" s="76" t="s">
        <v>6</v>
      </c>
      <c r="C4" s="77"/>
      <c r="D4" s="77"/>
      <c r="E4" s="78"/>
      <c r="F4" s="76" t="s">
        <v>6</v>
      </c>
      <c r="G4" s="77"/>
      <c r="H4" s="77"/>
      <c r="I4" s="78"/>
      <c r="J4" s="76" t="s">
        <v>7</v>
      </c>
      <c r="K4" s="77"/>
      <c r="L4" s="77"/>
      <c r="M4" s="78"/>
      <c r="N4" s="76" t="s">
        <v>7</v>
      </c>
      <c r="O4" s="77"/>
      <c r="P4" s="77"/>
      <c r="Q4" s="78"/>
      <c r="R4" s="6"/>
      <c r="S4" s="89"/>
      <c r="T4" s="89"/>
      <c r="U4" s="92"/>
      <c r="V4" s="89"/>
      <c r="W4" s="89"/>
      <c r="X4" s="92"/>
      <c r="Y4" s="89"/>
      <c r="Z4" s="89"/>
      <c r="AA4" s="89"/>
    </row>
    <row r="5" spans="1:27" x14ac:dyDescent="0.25">
      <c r="A5" s="72"/>
      <c r="B5" s="79" t="s">
        <v>8</v>
      </c>
      <c r="C5" s="80"/>
      <c r="D5" s="80"/>
      <c r="E5" s="81"/>
      <c r="F5" s="79" t="s">
        <v>9</v>
      </c>
      <c r="G5" s="80"/>
      <c r="H5" s="80"/>
      <c r="I5" s="81"/>
      <c r="J5" s="79" t="s">
        <v>10</v>
      </c>
      <c r="K5" s="80"/>
      <c r="L5" s="80"/>
      <c r="M5" s="81"/>
      <c r="N5" s="79" t="s">
        <v>11</v>
      </c>
      <c r="O5" s="80"/>
      <c r="P5" s="80"/>
      <c r="Q5" s="81"/>
      <c r="R5" s="6" t="s">
        <v>12</v>
      </c>
      <c r="S5" s="89"/>
      <c r="T5" s="89"/>
      <c r="U5" s="92"/>
      <c r="V5" s="89"/>
      <c r="W5" s="89"/>
      <c r="X5" s="92"/>
      <c r="Y5" s="89"/>
      <c r="Z5" s="89"/>
      <c r="AA5" s="89"/>
    </row>
    <row r="6" spans="1:27" x14ac:dyDescent="0.25">
      <c r="A6" s="72"/>
      <c r="B6" s="7">
        <v>43647</v>
      </c>
      <c r="C6" s="7">
        <v>43678</v>
      </c>
      <c r="D6" s="7">
        <v>43709</v>
      </c>
      <c r="E6" s="82" t="s">
        <v>13</v>
      </c>
      <c r="F6" s="7">
        <v>43647</v>
      </c>
      <c r="G6" s="7">
        <v>43678</v>
      </c>
      <c r="H6" s="7">
        <v>43709</v>
      </c>
      <c r="I6" s="82" t="s">
        <v>13</v>
      </c>
      <c r="J6" s="7">
        <v>43647</v>
      </c>
      <c r="K6" s="7">
        <v>43678</v>
      </c>
      <c r="L6" s="7">
        <v>43709</v>
      </c>
      <c r="M6" s="82" t="s">
        <v>13</v>
      </c>
      <c r="N6" s="7">
        <v>43647</v>
      </c>
      <c r="O6" s="7">
        <v>43678</v>
      </c>
      <c r="P6" s="7">
        <v>43709</v>
      </c>
      <c r="Q6" s="82" t="s">
        <v>13</v>
      </c>
      <c r="R6" s="8"/>
      <c r="S6" s="89"/>
      <c r="T6" s="89"/>
      <c r="U6" s="92"/>
      <c r="V6" s="89"/>
      <c r="W6" s="89"/>
      <c r="X6" s="92"/>
      <c r="Y6" s="89"/>
      <c r="Z6" s="89"/>
      <c r="AA6" s="89"/>
    </row>
    <row r="7" spans="1:27" x14ac:dyDescent="0.25">
      <c r="A7" s="72"/>
      <c r="B7" s="85" t="s">
        <v>14</v>
      </c>
      <c r="C7" s="86"/>
      <c r="D7" s="87"/>
      <c r="E7" s="83"/>
      <c r="F7" s="85" t="s">
        <v>14</v>
      </c>
      <c r="G7" s="86"/>
      <c r="H7" s="87"/>
      <c r="I7" s="83"/>
      <c r="J7" s="85" t="s">
        <v>14</v>
      </c>
      <c r="K7" s="86"/>
      <c r="L7" s="87"/>
      <c r="M7" s="83"/>
      <c r="N7" s="85" t="s">
        <v>14</v>
      </c>
      <c r="O7" s="86"/>
      <c r="P7" s="87"/>
      <c r="Q7" s="83"/>
      <c r="R7" s="8"/>
      <c r="S7" s="90"/>
      <c r="T7" s="89"/>
      <c r="U7" s="93"/>
      <c r="V7" s="90"/>
      <c r="W7" s="89"/>
      <c r="X7" s="93"/>
      <c r="Y7" s="90"/>
      <c r="Z7" s="89"/>
      <c r="AA7" s="89"/>
    </row>
    <row r="8" spans="1:27" x14ac:dyDescent="0.25">
      <c r="A8" s="9" t="s">
        <v>15</v>
      </c>
      <c r="B8" s="10">
        <v>12.5</v>
      </c>
      <c r="C8" s="11">
        <f>100/10</f>
        <v>10</v>
      </c>
      <c r="D8" s="10"/>
      <c r="E8" s="12">
        <f t="shared" ref="E8:E23" si="0">(D8+C8+B8)/3</f>
        <v>7.5</v>
      </c>
      <c r="F8" s="10">
        <f>70/10</f>
        <v>7</v>
      </c>
      <c r="G8" s="13">
        <f>50/10</f>
        <v>5</v>
      </c>
      <c r="H8" s="10">
        <f>35/10</f>
        <v>3.5</v>
      </c>
      <c r="I8" s="12">
        <f>(F8+G8+H8)/3</f>
        <v>5.166666666666667</v>
      </c>
      <c r="J8" s="10">
        <v>-1</v>
      </c>
      <c r="K8" s="13">
        <f>36/10</f>
        <v>3.6</v>
      </c>
      <c r="L8" s="14"/>
      <c r="M8" s="15">
        <f t="shared" ref="M8:M23" si="1">(L8+K8+J8)/3</f>
        <v>0.8666666666666667</v>
      </c>
      <c r="N8" s="10"/>
      <c r="O8" s="13">
        <f>50/5</f>
        <v>10</v>
      </c>
      <c r="P8" s="10">
        <f>50/10</f>
        <v>5</v>
      </c>
      <c r="Q8" s="16">
        <f t="shared" ref="Q8:Q23" si="2">(P8+O8+N8)/3</f>
        <v>5</v>
      </c>
      <c r="R8" s="17">
        <v>19.600000000000001</v>
      </c>
      <c r="S8" s="18">
        <f t="shared" ref="S8:S23" si="3">N8+J8+F8+B8</f>
        <v>18.5</v>
      </c>
      <c r="T8" s="19">
        <f t="shared" ref="T8:T23" si="4">S8/R8</f>
        <v>0.94387755102040805</v>
      </c>
      <c r="U8" s="20">
        <v>40</v>
      </c>
      <c r="V8" s="18">
        <f>B8+C8+F8+G8+H8+J8+K8+O8+P8</f>
        <v>55.6</v>
      </c>
      <c r="W8" s="19">
        <f t="shared" ref="W8:W23" si="5">V8/U8</f>
        <v>1.3900000000000001</v>
      </c>
      <c r="X8" s="21">
        <v>15</v>
      </c>
      <c r="Y8" s="22">
        <f t="shared" ref="Y8:Y23" si="6">P8+L8+H8+D8</f>
        <v>8.5</v>
      </c>
      <c r="Z8" s="23">
        <f t="shared" ref="Z8:Z23" si="7">(Y8+V8+S8)/3</f>
        <v>27.533333333333331</v>
      </c>
      <c r="AA8" s="19">
        <f t="shared" ref="AA8:AA23" si="8">Y8/X8</f>
        <v>0.56666666666666665</v>
      </c>
    </row>
    <row r="9" spans="1:27" x14ac:dyDescent="0.25">
      <c r="A9" s="24" t="s">
        <v>16</v>
      </c>
      <c r="B9" s="25">
        <v>1</v>
      </c>
      <c r="C9" s="26"/>
      <c r="D9" s="25"/>
      <c r="E9" s="27">
        <f t="shared" si="0"/>
        <v>0.33333333333333331</v>
      </c>
      <c r="F9" s="25"/>
      <c r="G9" s="25">
        <v>-1</v>
      </c>
      <c r="H9" s="25"/>
      <c r="I9" s="27">
        <f t="shared" ref="I9:I23" si="9">(H9+G9+F9)/3</f>
        <v>-0.33333333333333331</v>
      </c>
      <c r="J9" s="28"/>
      <c r="K9" s="28"/>
      <c r="L9" s="28"/>
      <c r="M9" s="29">
        <f t="shared" si="1"/>
        <v>0</v>
      </c>
      <c r="N9" s="30">
        <f>12/12</f>
        <v>1</v>
      </c>
      <c r="O9" s="25">
        <f>36/12</f>
        <v>3</v>
      </c>
      <c r="P9" s="25">
        <f>12/12</f>
        <v>1</v>
      </c>
      <c r="Q9" s="31">
        <f t="shared" si="2"/>
        <v>1.6666666666666667</v>
      </c>
      <c r="R9" s="32">
        <v>-0.25</v>
      </c>
      <c r="S9" s="33">
        <f t="shared" si="3"/>
        <v>2</v>
      </c>
      <c r="T9" s="34">
        <f t="shared" si="4"/>
        <v>-8</v>
      </c>
      <c r="U9" s="35">
        <v>0</v>
      </c>
      <c r="V9" s="33">
        <f t="shared" ref="V9:V23" si="10">O9+K9+G9+C9</f>
        <v>2</v>
      </c>
      <c r="W9" s="34" t="e">
        <f t="shared" si="5"/>
        <v>#DIV/0!</v>
      </c>
      <c r="X9" s="36">
        <v>0</v>
      </c>
      <c r="Y9" s="37">
        <f t="shared" si="6"/>
        <v>1</v>
      </c>
      <c r="Z9" s="38">
        <f t="shared" si="7"/>
        <v>1.6666666666666667</v>
      </c>
      <c r="AA9" s="34" t="e">
        <f t="shared" si="8"/>
        <v>#DIV/0!</v>
      </c>
    </row>
    <row r="10" spans="1:27" x14ac:dyDescent="0.25">
      <c r="A10" s="24" t="s">
        <v>17</v>
      </c>
      <c r="B10" s="25">
        <v>10</v>
      </c>
      <c r="C10" s="26">
        <f>180/12</f>
        <v>15</v>
      </c>
      <c r="D10" s="25"/>
      <c r="E10" s="27">
        <f t="shared" si="0"/>
        <v>8.3333333333333339</v>
      </c>
      <c r="F10" s="30">
        <f>96/12</f>
        <v>8</v>
      </c>
      <c r="G10" s="25">
        <f>59/12</f>
        <v>4.916666666666667</v>
      </c>
      <c r="H10" s="25">
        <f>71/12</f>
        <v>5.916666666666667</v>
      </c>
      <c r="I10" s="27">
        <f t="shared" si="9"/>
        <v>6.2777777777777786</v>
      </c>
      <c r="J10" s="25"/>
      <c r="K10" s="30">
        <f>120/12</f>
        <v>10</v>
      </c>
      <c r="L10" s="28">
        <f>60/12</f>
        <v>5</v>
      </c>
      <c r="M10" s="29">
        <f t="shared" si="1"/>
        <v>5</v>
      </c>
      <c r="N10" s="25">
        <f>240/12</f>
        <v>20</v>
      </c>
      <c r="O10" s="30">
        <f>180/12</f>
        <v>15</v>
      </c>
      <c r="P10" s="25">
        <f>60/12</f>
        <v>5</v>
      </c>
      <c r="Q10" s="31">
        <f t="shared" si="2"/>
        <v>13.333333333333334</v>
      </c>
      <c r="R10" s="32">
        <v>50.5833333333333</v>
      </c>
      <c r="S10" s="33">
        <f t="shared" si="3"/>
        <v>38</v>
      </c>
      <c r="T10" s="34">
        <f t="shared" si="4"/>
        <v>0.75123558484349306</v>
      </c>
      <c r="U10" s="35">
        <v>57</v>
      </c>
      <c r="V10" s="33">
        <f t="shared" si="10"/>
        <v>44.916666666666671</v>
      </c>
      <c r="W10" s="34">
        <f t="shared" si="5"/>
        <v>0.78801169590643283</v>
      </c>
      <c r="X10" s="36">
        <v>23</v>
      </c>
      <c r="Y10" s="37">
        <f t="shared" si="6"/>
        <v>15.916666666666668</v>
      </c>
      <c r="Z10" s="38">
        <f t="shared" si="7"/>
        <v>32.94444444444445</v>
      </c>
      <c r="AA10" s="34">
        <f t="shared" si="8"/>
        <v>0.69202898550724645</v>
      </c>
    </row>
    <row r="11" spans="1:27" x14ac:dyDescent="0.25">
      <c r="A11" s="24" t="s">
        <v>18</v>
      </c>
      <c r="B11" s="25">
        <v>1</v>
      </c>
      <c r="C11" s="26">
        <f>24/12</f>
        <v>2</v>
      </c>
      <c r="D11" s="25"/>
      <c r="E11" s="27">
        <f t="shared" si="0"/>
        <v>1</v>
      </c>
      <c r="F11" s="25">
        <f>24/12</f>
        <v>2</v>
      </c>
      <c r="G11" s="25"/>
      <c r="H11" s="25">
        <f>6/12</f>
        <v>0.5</v>
      </c>
      <c r="I11" s="27">
        <f t="shared" si="9"/>
        <v>0.83333333333333337</v>
      </c>
      <c r="J11" s="28"/>
      <c r="K11" s="28"/>
      <c r="L11" s="28"/>
      <c r="M11" s="29">
        <f t="shared" si="1"/>
        <v>0</v>
      </c>
      <c r="N11" s="30">
        <f>24/12</f>
        <v>2</v>
      </c>
      <c r="O11" s="30">
        <f>24/12</f>
        <v>2</v>
      </c>
      <c r="P11" s="25"/>
      <c r="Q11" s="31">
        <f t="shared" si="2"/>
        <v>1.3333333333333333</v>
      </c>
      <c r="R11" s="32">
        <v>0</v>
      </c>
      <c r="S11" s="33">
        <f t="shared" si="3"/>
        <v>5</v>
      </c>
      <c r="T11" s="34" t="e">
        <f t="shared" si="4"/>
        <v>#DIV/0!</v>
      </c>
      <c r="U11" s="35">
        <v>0</v>
      </c>
      <c r="V11" s="33">
        <f t="shared" si="10"/>
        <v>4</v>
      </c>
      <c r="W11" s="34" t="e">
        <f t="shared" si="5"/>
        <v>#DIV/0!</v>
      </c>
      <c r="X11" s="36">
        <v>0</v>
      </c>
      <c r="Y11" s="37">
        <f t="shared" si="6"/>
        <v>0.5</v>
      </c>
      <c r="Z11" s="38">
        <f t="shared" si="7"/>
        <v>3.1666666666666665</v>
      </c>
      <c r="AA11" s="34" t="e">
        <f t="shared" si="8"/>
        <v>#DIV/0!</v>
      </c>
    </row>
    <row r="12" spans="1:27" x14ac:dyDescent="0.25">
      <c r="A12" s="24" t="s">
        <v>19</v>
      </c>
      <c r="B12" s="25">
        <v>37</v>
      </c>
      <c r="C12" s="26">
        <f>3058/36</f>
        <v>84.944444444444443</v>
      </c>
      <c r="D12" s="25">
        <v>-1</v>
      </c>
      <c r="E12" s="27">
        <f t="shared" si="0"/>
        <v>40.314814814814817</v>
      </c>
      <c r="F12" s="25">
        <f>768/36</f>
        <v>21.333333333333332</v>
      </c>
      <c r="G12" s="30">
        <f>2515/36</f>
        <v>69.861111111111114</v>
      </c>
      <c r="H12" s="25">
        <f>1182/36</f>
        <v>32.833333333333336</v>
      </c>
      <c r="I12" s="27">
        <f t="shared" si="9"/>
        <v>41.342592592592595</v>
      </c>
      <c r="J12" s="25">
        <f>1970/36</f>
        <v>54.722222222222221</v>
      </c>
      <c r="K12" s="30">
        <f>5385/36</f>
        <v>149.58333333333334</v>
      </c>
      <c r="L12" s="30">
        <f>3599/36</f>
        <v>99.972222222222229</v>
      </c>
      <c r="M12" s="29">
        <f t="shared" si="1"/>
        <v>101.42592592592592</v>
      </c>
      <c r="N12" s="25">
        <f>2684/36</f>
        <v>74.555555555555557</v>
      </c>
      <c r="O12" s="30">
        <f>6240/36</f>
        <v>173.33333333333334</v>
      </c>
      <c r="P12" s="30">
        <f>4496/36</f>
        <v>124.88888888888889</v>
      </c>
      <c r="Q12" s="31">
        <f t="shared" si="2"/>
        <v>124.25925925925925</v>
      </c>
      <c r="R12" s="32">
        <v>115.027777777778</v>
      </c>
      <c r="S12" s="33">
        <f t="shared" si="3"/>
        <v>187.61111111111111</v>
      </c>
      <c r="T12" s="34">
        <f t="shared" si="4"/>
        <v>1.6310070031393351</v>
      </c>
      <c r="U12" s="35">
        <v>293.972222222222</v>
      </c>
      <c r="V12" s="33">
        <f t="shared" si="10"/>
        <v>477.72222222222229</v>
      </c>
      <c r="W12" s="34">
        <f t="shared" si="5"/>
        <v>1.625059056978174</v>
      </c>
      <c r="X12" s="36">
        <v>319.722222222222</v>
      </c>
      <c r="Y12" s="37">
        <f t="shared" si="6"/>
        <v>256.69444444444446</v>
      </c>
      <c r="Z12" s="38">
        <f t="shared" si="7"/>
        <v>307.34259259259261</v>
      </c>
      <c r="AA12" s="34">
        <f t="shared" si="8"/>
        <v>0.80286707211120822</v>
      </c>
    </row>
    <row r="13" spans="1:27" x14ac:dyDescent="0.25">
      <c r="A13" s="39" t="s">
        <v>20</v>
      </c>
      <c r="B13" s="40">
        <f>360000+875000+756000+324000+2930400</f>
        <v>5245400</v>
      </c>
      <c r="C13" s="41">
        <f>700000+1134000+648000+6727600</f>
        <v>9209600</v>
      </c>
      <c r="D13" s="40">
        <v>-2200</v>
      </c>
      <c r="E13" s="27">
        <f t="shared" si="0"/>
        <v>4817600</v>
      </c>
      <c r="F13" s="40">
        <f>490000+604800+648000+1689600</f>
        <v>3432400</v>
      </c>
      <c r="G13" s="42">
        <f>350000+371700+5533000-30000</f>
        <v>6224700</v>
      </c>
      <c r="H13" s="40">
        <f>245000+162000+447300+2600400</f>
        <v>3454700</v>
      </c>
      <c r="I13" s="27">
        <f t="shared" si="9"/>
        <v>4370600</v>
      </c>
      <c r="J13" s="43">
        <v>4327000</v>
      </c>
      <c r="K13" s="43">
        <v>13303000</v>
      </c>
      <c r="L13" s="43">
        <v>8295800</v>
      </c>
      <c r="M13" s="29">
        <f t="shared" si="1"/>
        <v>8641933.333333334</v>
      </c>
      <c r="N13" s="43">
        <v>8424800</v>
      </c>
      <c r="O13" s="25">
        <v>16940000</v>
      </c>
      <c r="P13" s="25">
        <v>10979200</v>
      </c>
      <c r="Q13" s="31">
        <f t="shared" si="2"/>
        <v>12114666.666666666</v>
      </c>
      <c r="R13" s="32">
        <v>14216300</v>
      </c>
      <c r="S13" s="33">
        <f t="shared" si="3"/>
        <v>21429600</v>
      </c>
      <c r="T13" s="34">
        <f t="shared" si="4"/>
        <v>1.5073964392985517</v>
      </c>
      <c r="U13" s="35">
        <v>30391800</v>
      </c>
      <c r="V13" s="33">
        <f t="shared" si="10"/>
        <v>45677300</v>
      </c>
      <c r="W13" s="34">
        <f t="shared" si="5"/>
        <v>1.5029481636494055</v>
      </c>
      <c r="X13" s="36">
        <v>28110800</v>
      </c>
      <c r="Y13" s="37">
        <f t="shared" si="6"/>
        <v>22727500</v>
      </c>
      <c r="Z13" s="38">
        <f t="shared" si="7"/>
        <v>29944800</v>
      </c>
      <c r="AA13" s="34">
        <f t="shared" si="8"/>
        <v>0.80849709008637249</v>
      </c>
    </row>
    <row r="14" spans="1:27" x14ac:dyDescent="0.25">
      <c r="A14" s="44" t="s">
        <v>21</v>
      </c>
      <c r="B14" s="25">
        <v>-1</v>
      </c>
      <c r="C14" s="26">
        <f>119/24</f>
        <v>4.958333333333333</v>
      </c>
      <c r="D14" s="25">
        <f>48/24</f>
        <v>2</v>
      </c>
      <c r="E14" s="27">
        <f t="shared" si="0"/>
        <v>1.9861111111111109</v>
      </c>
      <c r="F14" s="30">
        <f>120/24</f>
        <v>5</v>
      </c>
      <c r="G14" s="30">
        <f>239/24</f>
        <v>9.9583333333333339</v>
      </c>
      <c r="H14" s="25">
        <f>120/24</f>
        <v>5</v>
      </c>
      <c r="I14" s="27">
        <f t="shared" si="9"/>
        <v>6.6527777777777786</v>
      </c>
      <c r="J14" s="25">
        <f>72/24</f>
        <v>3</v>
      </c>
      <c r="K14" s="30"/>
      <c r="L14" s="30"/>
      <c r="M14" s="29">
        <f t="shared" si="1"/>
        <v>1</v>
      </c>
      <c r="N14" s="25">
        <f>216/24</f>
        <v>9</v>
      </c>
      <c r="O14" s="30">
        <f>24/24</f>
        <v>1</v>
      </c>
      <c r="P14" s="30">
        <f>240/24</f>
        <v>10</v>
      </c>
      <c r="Q14" s="31">
        <f t="shared" si="2"/>
        <v>6.666666666666667</v>
      </c>
      <c r="R14" s="32">
        <v>30.75</v>
      </c>
      <c r="S14" s="33">
        <f t="shared" si="3"/>
        <v>16</v>
      </c>
      <c r="T14" s="34">
        <f t="shared" si="4"/>
        <v>0.52032520325203258</v>
      </c>
      <c r="U14" s="35">
        <v>25.6666666666667</v>
      </c>
      <c r="V14" s="33">
        <f t="shared" si="10"/>
        <v>15.916666666666668</v>
      </c>
      <c r="W14" s="34">
        <f t="shared" si="5"/>
        <v>0.62012987012986942</v>
      </c>
      <c r="X14" s="36">
        <v>42.6666666666667</v>
      </c>
      <c r="Y14" s="37">
        <f t="shared" si="6"/>
        <v>17</v>
      </c>
      <c r="Z14" s="38">
        <f t="shared" si="7"/>
        <v>16.305555555555557</v>
      </c>
      <c r="AA14" s="34">
        <f t="shared" si="8"/>
        <v>0.39843749999999967</v>
      </c>
    </row>
    <row r="15" spans="1:27" x14ac:dyDescent="0.25">
      <c r="A15" s="44" t="s">
        <v>22</v>
      </c>
      <c r="B15" s="25">
        <v>10</v>
      </c>
      <c r="C15" s="26">
        <f>96/12</f>
        <v>8</v>
      </c>
      <c r="D15" s="25">
        <f>36/12</f>
        <v>3</v>
      </c>
      <c r="E15" s="27">
        <f t="shared" si="0"/>
        <v>7</v>
      </c>
      <c r="F15" s="30">
        <f>180/12</f>
        <v>15</v>
      </c>
      <c r="G15" s="25">
        <f>36/12</f>
        <v>3</v>
      </c>
      <c r="H15" s="25">
        <f>156/12</f>
        <v>13</v>
      </c>
      <c r="I15" s="27">
        <f t="shared" si="9"/>
        <v>10.333333333333334</v>
      </c>
      <c r="J15" s="25">
        <f>48/12</f>
        <v>4</v>
      </c>
      <c r="K15" s="28">
        <f>156/12</f>
        <v>13</v>
      </c>
      <c r="L15" s="28"/>
      <c r="M15" s="29">
        <f t="shared" si="1"/>
        <v>5.666666666666667</v>
      </c>
      <c r="N15" s="25">
        <f>240/12</f>
        <v>20</v>
      </c>
      <c r="O15" s="30">
        <f>130/12</f>
        <v>10.833333333333334</v>
      </c>
      <c r="P15" s="30">
        <f>384/12</f>
        <v>32</v>
      </c>
      <c r="Q15" s="31">
        <f t="shared" si="2"/>
        <v>20.944444444444446</v>
      </c>
      <c r="R15" s="32">
        <v>10.0416666666667</v>
      </c>
      <c r="S15" s="33">
        <f t="shared" si="3"/>
        <v>49</v>
      </c>
      <c r="T15" s="34">
        <f t="shared" si="4"/>
        <v>4.8796680497925147</v>
      </c>
      <c r="U15" s="35">
        <v>9.4583333333333304</v>
      </c>
      <c r="V15" s="33">
        <f t="shared" si="10"/>
        <v>34.833333333333336</v>
      </c>
      <c r="W15" s="34">
        <f t="shared" si="5"/>
        <v>3.6828193832599134</v>
      </c>
      <c r="X15" s="36">
        <v>6.5</v>
      </c>
      <c r="Y15" s="37">
        <f t="shared" si="6"/>
        <v>48</v>
      </c>
      <c r="Z15" s="38">
        <f t="shared" si="7"/>
        <v>43.94444444444445</v>
      </c>
      <c r="AA15" s="34">
        <f t="shared" si="8"/>
        <v>7.384615384615385</v>
      </c>
    </row>
    <row r="16" spans="1:27" x14ac:dyDescent="0.25">
      <c r="A16" s="44" t="s">
        <v>23</v>
      </c>
      <c r="B16" s="25">
        <f>106/6</f>
        <v>17.666666666666668</v>
      </c>
      <c r="C16" s="26">
        <f>76/6</f>
        <v>12.666666666666666</v>
      </c>
      <c r="D16" s="25">
        <f>36/6</f>
        <v>6</v>
      </c>
      <c r="E16" s="27">
        <f t="shared" si="0"/>
        <v>12.111111111111109</v>
      </c>
      <c r="F16" s="30">
        <f>120/6</f>
        <v>20</v>
      </c>
      <c r="G16" s="30">
        <f>101/6</f>
        <v>16.833333333333332</v>
      </c>
      <c r="H16" s="25">
        <f>84/6</f>
        <v>14</v>
      </c>
      <c r="I16" s="27">
        <f t="shared" si="9"/>
        <v>16.944444444444443</v>
      </c>
      <c r="J16" s="25">
        <f>90/6</f>
        <v>15</v>
      </c>
      <c r="K16" s="30">
        <f>120/6</f>
        <v>20</v>
      </c>
      <c r="L16" s="30">
        <f>120/6</f>
        <v>20</v>
      </c>
      <c r="M16" s="29">
        <f t="shared" si="1"/>
        <v>18.333333333333332</v>
      </c>
      <c r="N16" s="25">
        <f>120/6</f>
        <v>20</v>
      </c>
      <c r="O16" s="30">
        <f>59/6</f>
        <v>9.8333333333333339</v>
      </c>
      <c r="P16" s="30">
        <f>60/6</f>
        <v>10</v>
      </c>
      <c r="Q16" s="31">
        <f t="shared" si="2"/>
        <v>13.277777777777779</v>
      </c>
      <c r="R16" s="32">
        <v>5.1666666666666696</v>
      </c>
      <c r="S16" s="33">
        <f t="shared" si="3"/>
        <v>72.666666666666671</v>
      </c>
      <c r="T16" s="34">
        <f t="shared" si="4"/>
        <v>14.064516129032251</v>
      </c>
      <c r="U16" s="35">
        <v>76.8333333333333</v>
      </c>
      <c r="V16" s="33">
        <f t="shared" si="10"/>
        <v>59.333333333333336</v>
      </c>
      <c r="W16" s="34">
        <f t="shared" si="5"/>
        <v>0.7722342733188724</v>
      </c>
      <c r="X16" s="36">
        <v>73</v>
      </c>
      <c r="Y16" s="37">
        <f t="shared" si="6"/>
        <v>50</v>
      </c>
      <c r="Z16" s="38">
        <f t="shared" si="7"/>
        <v>60.666666666666664</v>
      </c>
      <c r="AA16" s="34">
        <f t="shared" si="8"/>
        <v>0.68493150684931503</v>
      </c>
    </row>
    <row r="17" spans="1:27" x14ac:dyDescent="0.25">
      <c r="A17" s="44" t="s">
        <v>24</v>
      </c>
      <c r="B17" s="25">
        <f>59/6</f>
        <v>9.8333333333333339</v>
      </c>
      <c r="C17" s="26">
        <f>48/6</f>
        <v>8</v>
      </c>
      <c r="D17" s="25">
        <f>36/6</f>
        <v>6</v>
      </c>
      <c r="E17" s="27">
        <f t="shared" si="0"/>
        <v>7.9444444444444455</v>
      </c>
      <c r="F17" s="30">
        <f>84/6</f>
        <v>14</v>
      </c>
      <c r="G17" s="30">
        <f>54/6</f>
        <v>9</v>
      </c>
      <c r="H17" s="25">
        <f>60/6</f>
        <v>10</v>
      </c>
      <c r="I17" s="27">
        <f t="shared" si="9"/>
        <v>11</v>
      </c>
      <c r="J17" s="25"/>
      <c r="K17" s="30">
        <f>107/6</f>
        <v>17.833333333333332</v>
      </c>
      <c r="L17" s="28">
        <f>120/6</f>
        <v>20</v>
      </c>
      <c r="M17" s="29">
        <f t="shared" si="1"/>
        <v>12.611111111111109</v>
      </c>
      <c r="N17" s="25">
        <f>119/6</f>
        <v>19.833333333333332</v>
      </c>
      <c r="O17" s="30">
        <f>90/6</f>
        <v>15</v>
      </c>
      <c r="P17" s="30">
        <f>174/6</f>
        <v>29</v>
      </c>
      <c r="Q17" s="31">
        <f t="shared" si="2"/>
        <v>21.277777777777775</v>
      </c>
      <c r="R17" s="32">
        <v>2.8333333333333299</v>
      </c>
      <c r="S17" s="33">
        <f t="shared" si="3"/>
        <v>43.666666666666664</v>
      </c>
      <c r="T17" s="34">
        <f t="shared" si="4"/>
        <v>15.411764705882371</v>
      </c>
      <c r="U17" s="35">
        <v>69.5</v>
      </c>
      <c r="V17" s="33">
        <f t="shared" si="10"/>
        <v>49.833333333333329</v>
      </c>
      <c r="W17" s="34">
        <f t="shared" si="5"/>
        <v>0.71702637889688248</v>
      </c>
      <c r="X17" s="36">
        <v>55</v>
      </c>
      <c r="Y17" s="37">
        <f t="shared" si="6"/>
        <v>65</v>
      </c>
      <c r="Z17" s="38">
        <f t="shared" si="7"/>
        <v>52.833333333333336</v>
      </c>
      <c r="AA17" s="34">
        <f t="shared" si="8"/>
        <v>1.1818181818181819</v>
      </c>
    </row>
    <row r="18" spans="1:27" x14ac:dyDescent="0.25">
      <c r="A18" s="44" t="s">
        <v>25</v>
      </c>
      <c r="B18" s="25">
        <f>58/6</f>
        <v>9.6666666666666661</v>
      </c>
      <c r="C18" s="26"/>
      <c r="D18" s="25">
        <f>24/6</f>
        <v>4</v>
      </c>
      <c r="E18" s="27">
        <f t="shared" si="0"/>
        <v>4.5555555555555554</v>
      </c>
      <c r="F18" s="30">
        <f>30/6</f>
        <v>5</v>
      </c>
      <c r="G18" s="30">
        <f>24/6</f>
        <v>4</v>
      </c>
      <c r="H18" s="25">
        <f>36/6</f>
        <v>6</v>
      </c>
      <c r="I18" s="27">
        <f t="shared" si="9"/>
        <v>5</v>
      </c>
      <c r="J18" s="25">
        <f>30/6</f>
        <v>5</v>
      </c>
      <c r="K18" s="30">
        <f>12/6</f>
        <v>2</v>
      </c>
      <c r="L18" s="30">
        <f>12/6</f>
        <v>2</v>
      </c>
      <c r="M18" s="29">
        <f t="shared" si="1"/>
        <v>3</v>
      </c>
      <c r="N18" s="25">
        <f>150/6</f>
        <v>25</v>
      </c>
      <c r="O18" s="25">
        <f>90/6</f>
        <v>15</v>
      </c>
      <c r="P18" s="30">
        <f>60/6</f>
        <v>10</v>
      </c>
      <c r="Q18" s="31">
        <f t="shared" si="2"/>
        <v>16.666666666666668</v>
      </c>
      <c r="R18" s="32">
        <v>-0.500000000000002</v>
      </c>
      <c r="S18" s="33">
        <f t="shared" si="3"/>
        <v>44.666666666666664</v>
      </c>
      <c r="T18" s="34">
        <f t="shared" si="4"/>
        <v>-89.333333333332973</v>
      </c>
      <c r="U18" s="35">
        <v>31.5</v>
      </c>
      <c r="V18" s="33">
        <f t="shared" si="10"/>
        <v>21</v>
      </c>
      <c r="W18" s="34">
        <f t="shared" si="5"/>
        <v>0.66666666666666663</v>
      </c>
      <c r="X18" s="36">
        <v>32</v>
      </c>
      <c r="Y18" s="37">
        <f t="shared" si="6"/>
        <v>22</v>
      </c>
      <c r="Z18" s="38">
        <f t="shared" si="7"/>
        <v>29.222222222222218</v>
      </c>
      <c r="AA18" s="34">
        <f t="shared" si="8"/>
        <v>0.6875</v>
      </c>
    </row>
    <row r="19" spans="1:27" x14ac:dyDescent="0.25">
      <c r="A19" s="45" t="s">
        <v>26</v>
      </c>
      <c r="B19" s="25">
        <f>239/24</f>
        <v>9.9583333333333339</v>
      </c>
      <c r="C19" s="26">
        <f>119/24</f>
        <v>4.958333333333333</v>
      </c>
      <c r="D19" s="25">
        <f>48/24</f>
        <v>2</v>
      </c>
      <c r="E19" s="27">
        <f t="shared" si="0"/>
        <v>5.6388888888888893</v>
      </c>
      <c r="F19" s="30">
        <f>240/24</f>
        <v>10</v>
      </c>
      <c r="G19" s="30">
        <f>120/24</f>
        <v>5</v>
      </c>
      <c r="H19" s="25">
        <f>192/24</f>
        <v>8</v>
      </c>
      <c r="I19" s="27">
        <f t="shared" si="9"/>
        <v>7.666666666666667</v>
      </c>
      <c r="J19" s="28"/>
      <c r="K19" s="28"/>
      <c r="L19" s="28"/>
      <c r="M19" s="29">
        <f t="shared" si="1"/>
        <v>0</v>
      </c>
      <c r="N19" s="30"/>
      <c r="O19" s="25"/>
      <c r="P19" s="25"/>
      <c r="Q19" s="31">
        <f t="shared" si="2"/>
        <v>0</v>
      </c>
      <c r="R19" s="32">
        <v>12.875</v>
      </c>
      <c r="S19" s="33">
        <f t="shared" si="3"/>
        <v>19.958333333333336</v>
      </c>
      <c r="T19" s="34">
        <f t="shared" si="4"/>
        <v>1.5501618122977348</v>
      </c>
      <c r="U19" s="35">
        <v>9</v>
      </c>
      <c r="V19" s="33">
        <f t="shared" si="10"/>
        <v>9.9583333333333321</v>
      </c>
      <c r="W19" s="34">
        <f t="shared" si="5"/>
        <v>1.1064814814814814</v>
      </c>
      <c r="X19" s="36">
        <v>18.9583333333333</v>
      </c>
      <c r="Y19" s="37">
        <f t="shared" si="6"/>
        <v>10</v>
      </c>
      <c r="Z19" s="38">
        <f t="shared" si="7"/>
        <v>13.305555555555557</v>
      </c>
      <c r="AA19" s="34">
        <f t="shared" si="8"/>
        <v>0.52747252747252837</v>
      </c>
    </row>
    <row r="20" spans="1:27" x14ac:dyDescent="0.25">
      <c r="A20" s="39" t="s">
        <v>27</v>
      </c>
      <c r="B20" s="40">
        <f>667000+1107700+554400+584100+358500-2750</f>
        <v>3268950</v>
      </c>
      <c r="C20" s="41">
        <f>327250+752400+443520+475200+178500</f>
        <v>2176870</v>
      </c>
      <c r="D20" s="40">
        <f>132000+276000+376200+166320+356400+72000</f>
        <v>1378920</v>
      </c>
      <c r="E20" s="27">
        <f t="shared" si="0"/>
        <v>2274913.3333333335</v>
      </c>
      <c r="F20" s="40">
        <f>330000+345000+1254000+831600+360000+831600</f>
        <v>3952200</v>
      </c>
      <c r="G20" s="40">
        <f>657250+276000+1055450+166320+534600+180000</f>
        <v>2869620</v>
      </c>
      <c r="H20" s="40">
        <f>330000+414000+877800+720720+594000+288000</f>
        <v>3224520</v>
      </c>
      <c r="I20" s="27">
        <f t="shared" si="9"/>
        <v>3348780</v>
      </c>
      <c r="J20" s="43">
        <v>1705260</v>
      </c>
      <c r="K20" s="43">
        <v>3172020</v>
      </c>
      <c r="L20" s="43">
        <v>2580000</v>
      </c>
      <c r="M20" s="29">
        <f t="shared" si="1"/>
        <v>2485760</v>
      </c>
      <c r="N20" s="43">
        <v>5859900</v>
      </c>
      <c r="O20" s="25">
        <v>3209150</v>
      </c>
      <c r="P20" s="25">
        <v>5473680</v>
      </c>
      <c r="Q20" s="31">
        <f t="shared" si="2"/>
        <v>4847576.666666667</v>
      </c>
      <c r="R20" s="32">
        <v>4064170</v>
      </c>
      <c r="S20" s="33">
        <f t="shared" si="3"/>
        <v>14786310</v>
      </c>
      <c r="T20" s="34">
        <f t="shared" si="4"/>
        <v>3.638211492137386</v>
      </c>
      <c r="U20" s="35">
        <v>14185990</v>
      </c>
      <c r="V20" s="33">
        <f t="shared" si="10"/>
        <v>11427660</v>
      </c>
      <c r="W20" s="34">
        <f t="shared" si="5"/>
        <v>0.80555956968812192</v>
      </c>
      <c r="X20" s="36">
        <v>14271320</v>
      </c>
      <c r="Y20" s="37">
        <f t="shared" si="6"/>
        <v>12657120</v>
      </c>
      <c r="Z20" s="38">
        <f t="shared" si="7"/>
        <v>12957030</v>
      </c>
      <c r="AA20" s="34">
        <f t="shared" si="8"/>
        <v>0.88689203241185821</v>
      </c>
    </row>
    <row r="21" spans="1:27" x14ac:dyDescent="0.25">
      <c r="A21" s="44" t="s">
        <v>28</v>
      </c>
      <c r="B21" s="25">
        <f>180/60</f>
        <v>3</v>
      </c>
      <c r="C21" s="25">
        <f>180/60</f>
        <v>3</v>
      </c>
      <c r="D21" s="25">
        <v>-1</v>
      </c>
      <c r="E21" s="27">
        <f t="shared" si="0"/>
        <v>1.6666666666666667</v>
      </c>
      <c r="F21" s="25">
        <f>120/60</f>
        <v>2</v>
      </c>
      <c r="G21" s="30"/>
      <c r="H21" s="25">
        <f>178/60</f>
        <v>2.9666666666666668</v>
      </c>
      <c r="I21" s="27">
        <f t="shared" si="9"/>
        <v>1.6555555555555557</v>
      </c>
      <c r="J21" s="28">
        <f>120/60</f>
        <v>2</v>
      </c>
      <c r="K21" s="28">
        <f>719/60</f>
        <v>11.983333333333333</v>
      </c>
      <c r="L21" s="28">
        <f>180/60</f>
        <v>3</v>
      </c>
      <c r="M21" s="29">
        <f t="shared" si="1"/>
        <v>5.6611111111111114</v>
      </c>
      <c r="N21" s="30"/>
      <c r="O21" s="25"/>
      <c r="P21" s="25">
        <f>120/60</f>
        <v>2</v>
      </c>
      <c r="Q21" s="31">
        <f t="shared" si="2"/>
        <v>0.66666666666666663</v>
      </c>
      <c r="R21" s="32">
        <v>13.966666666666701</v>
      </c>
      <c r="S21" s="33">
        <f t="shared" si="3"/>
        <v>7</v>
      </c>
      <c r="T21" s="34">
        <f t="shared" si="4"/>
        <v>0.50119331742243312</v>
      </c>
      <c r="U21" s="35">
        <v>24</v>
      </c>
      <c r="V21" s="33">
        <f t="shared" si="10"/>
        <v>14.983333333333333</v>
      </c>
      <c r="W21" s="34">
        <f t="shared" si="5"/>
        <v>0.62430555555555556</v>
      </c>
      <c r="X21" s="36">
        <v>2.9833333333333298</v>
      </c>
      <c r="Y21" s="37">
        <f t="shared" si="6"/>
        <v>6.9666666666666668</v>
      </c>
      <c r="Z21" s="38">
        <f t="shared" si="7"/>
        <v>9.65</v>
      </c>
      <c r="AA21" s="34">
        <f t="shared" si="8"/>
        <v>2.33519553072626</v>
      </c>
    </row>
    <row r="22" spans="1:27" x14ac:dyDescent="0.25">
      <c r="A22" s="39" t="s">
        <v>29</v>
      </c>
      <c r="B22" s="40">
        <v>270000</v>
      </c>
      <c r="C22" s="46">
        <v>270000</v>
      </c>
      <c r="D22" s="40">
        <v>-1500</v>
      </c>
      <c r="E22" s="27">
        <f t="shared" si="0"/>
        <v>179500</v>
      </c>
      <c r="F22" s="40">
        <v>180000</v>
      </c>
      <c r="G22" s="40"/>
      <c r="H22" s="40">
        <v>267000</v>
      </c>
      <c r="I22" s="27">
        <f t="shared" si="9"/>
        <v>149000</v>
      </c>
      <c r="J22" s="43">
        <v>180000</v>
      </c>
      <c r="K22" s="43">
        <v>1078500</v>
      </c>
      <c r="L22" s="43">
        <v>270000</v>
      </c>
      <c r="M22" s="29">
        <f t="shared" si="1"/>
        <v>509500</v>
      </c>
      <c r="N22" s="43"/>
      <c r="O22" s="25"/>
      <c r="P22" s="25">
        <v>180000</v>
      </c>
      <c r="Q22" s="31">
        <f t="shared" si="2"/>
        <v>60000</v>
      </c>
      <c r="R22" s="32">
        <v>1257000</v>
      </c>
      <c r="S22" s="33">
        <f t="shared" si="3"/>
        <v>630000</v>
      </c>
      <c r="T22" s="34">
        <f t="shared" si="4"/>
        <v>0.50119331742243434</v>
      </c>
      <c r="U22" s="35">
        <v>2160000</v>
      </c>
      <c r="V22" s="33">
        <f t="shared" si="10"/>
        <v>1348500</v>
      </c>
      <c r="W22" s="34">
        <f t="shared" si="5"/>
        <v>0.62430555555555556</v>
      </c>
      <c r="X22" s="36">
        <v>268500</v>
      </c>
      <c r="Y22" s="37">
        <f t="shared" si="6"/>
        <v>715500</v>
      </c>
      <c r="Z22" s="38">
        <f t="shared" si="7"/>
        <v>898000</v>
      </c>
      <c r="AA22" s="34">
        <f t="shared" si="8"/>
        <v>2.6648044692737431</v>
      </c>
    </row>
    <row r="23" spans="1:27" x14ac:dyDescent="0.25">
      <c r="A23" s="47" t="s">
        <v>30</v>
      </c>
      <c r="B23" s="48">
        <f>SUM(B13,B20,B22)</f>
        <v>8784350</v>
      </c>
      <c r="C23" s="49">
        <f>SUM(C13,C20,C22)</f>
        <v>11656470</v>
      </c>
      <c r="D23" s="48">
        <f>SUM(D13,D20,D22)</f>
        <v>1375220</v>
      </c>
      <c r="E23" s="50">
        <f t="shared" si="0"/>
        <v>7272013.333333333</v>
      </c>
      <c r="F23" s="48">
        <f>SUM(F13,F20,F22)</f>
        <v>7564600</v>
      </c>
      <c r="G23" s="48">
        <f>SUM(G13,G20,G22)</f>
        <v>9094320</v>
      </c>
      <c r="H23" s="48">
        <f>SUM(H13,H20,H22)</f>
        <v>6946220</v>
      </c>
      <c r="I23" s="50">
        <f t="shared" si="9"/>
        <v>7868380</v>
      </c>
      <c r="J23" s="48">
        <f>SUM(J13,J20,J22)</f>
        <v>6212260</v>
      </c>
      <c r="K23" s="48">
        <f>SUM(K13,K20,K22)</f>
        <v>17553520</v>
      </c>
      <c r="L23" s="48">
        <f>SUM(L13,L20,L22)</f>
        <v>11145800</v>
      </c>
      <c r="M23" s="51">
        <f t="shared" si="1"/>
        <v>11637193.333333334</v>
      </c>
      <c r="N23" s="48">
        <f>SUM(N13,N20,N22)</f>
        <v>14284700</v>
      </c>
      <c r="O23" s="48">
        <f>SUM(O13,O20,O22)</f>
        <v>20149150</v>
      </c>
      <c r="P23" s="48">
        <f>SUM(P13,P20,P22)</f>
        <v>16632880</v>
      </c>
      <c r="Q23" s="52">
        <f t="shared" si="2"/>
        <v>17022243.333333332</v>
      </c>
      <c r="R23" s="53">
        <v>19537470</v>
      </c>
      <c r="S23" s="54">
        <f t="shared" si="3"/>
        <v>36845910</v>
      </c>
      <c r="T23" s="55">
        <f t="shared" si="4"/>
        <v>1.8859099975585376</v>
      </c>
      <c r="U23" s="56">
        <v>46737790</v>
      </c>
      <c r="V23" s="54">
        <f t="shared" si="10"/>
        <v>58453460</v>
      </c>
      <c r="W23" s="55">
        <f t="shared" si="5"/>
        <v>1.2506680354377047</v>
      </c>
      <c r="X23" s="57">
        <v>42650620</v>
      </c>
      <c r="Y23" s="53">
        <f t="shared" si="6"/>
        <v>36100120</v>
      </c>
      <c r="Z23" s="58">
        <f t="shared" si="7"/>
        <v>43799830</v>
      </c>
      <c r="AA23" s="55">
        <f t="shared" si="8"/>
        <v>0.8464148938514845</v>
      </c>
    </row>
  </sheetData>
  <mergeCells count="27">
    <mergeCell ref="AA3:AA7"/>
    <mergeCell ref="B4:E4"/>
    <mergeCell ref="F4:I4"/>
    <mergeCell ref="J4:M4"/>
    <mergeCell ref="N4:Q4"/>
    <mergeCell ref="B5:E5"/>
    <mergeCell ref="F5:I5"/>
    <mergeCell ref="J5:M5"/>
    <mergeCell ref="N5:Q5"/>
    <mergeCell ref="E6:E7"/>
    <mergeCell ref="I6:I7"/>
    <mergeCell ref="M6:M7"/>
    <mergeCell ref="Q6:Q7"/>
    <mergeCell ref="B7:D7"/>
    <mergeCell ref="F7:H7"/>
    <mergeCell ref="J7:L7"/>
    <mergeCell ref="V3:V7"/>
    <mergeCell ref="W3:W7"/>
    <mergeCell ref="X3:X7"/>
    <mergeCell ref="Y3:Y7"/>
    <mergeCell ref="Z3:Z7"/>
    <mergeCell ref="A3:A7"/>
    <mergeCell ref="B3:Q3"/>
    <mergeCell ref="S3:S7"/>
    <mergeCell ref="T3:T7"/>
    <mergeCell ref="U3:U7"/>
    <mergeCell ref="N7:P7"/>
  </mergeCells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A4" zoomScaleNormal="100" workbookViewId="0">
      <selection activeCell="S8" sqref="S8"/>
    </sheetView>
  </sheetViews>
  <sheetFormatPr defaultRowHeight="15" x14ac:dyDescent="0.25"/>
  <cols>
    <col min="1" max="1" width="26.7109375" style="3" customWidth="1"/>
    <col min="2" max="3" width="12.28515625" style="3" customWidth="1"/>
    <col min="4" max="4" width="11.28515625" style="3" customWidth="1"/>
    <col min="5" max="5" width="12.28515625" style="3" customWidth="1"/>
    <col min="6" max="6" width="11.42578125" style="3" customWidth="1"/>
    <col min="7" max="8" width="12.28515625" style="3" customWidth="1"/>
    <col min="9" max="9" width="11.28515625" style="3" customWidth="1"/>
    <col min="10" max="13" width="12.28515625" style="3" customWidth="1"/>
    <col min="14" max="14" width="12.28515625" style="59" customWidth="1"/>
    <col min="15" max="17" width="12.28515625" style="3" customWidth="1"/>
    <col min="18" max="18" width="9.140625" style="3" customWidth="1"/>
    <col min="19" max="16384" width="9.140625" style="3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</row>
    <row r="2" spans="1:17" ht="15.75" thickBot="1" x14ac:dyDescent="0.3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</row>
    <row r="3" spans="1:17" ht="15" customHeight="1" thickBot="1" x14ac:dyDescent="0.3">
      <c r="A3" s="71" t="s">
        <v>0</v>
      </c>
      <c r="B3" s="73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x14ac:dyDescent="0.25">
      <c r="A4" s="72"/>
      <c r="B4" s="76" t="s">
        <v>6</v>
      </c>
      <c r="C4" s="77"/>
      <c r="D4" s="77"/>
      <c r="E4" s="78"/>
      <c r="F4" s="76" t="s">
        <v>6</v>
      </c>
      <c r="G4" s="77"/>
      <c r="H4" s="77"/>
      <c r="I4" s="78"/>
      <c r="J4" s="76" t="s">
        <v>7</v>
      </c>
      <c r="K4" s="77"/>
      <c r="L4" s="77"/>
      <c r="M4" s="78"/>
      <c r="N4" s="76" t="s">
        <v>7</v>
      </c>
      <c r="O4" s="77"/>
      <c r="P4" s="77"/>
      <c r="Q4" s="78"/>
    </row>
    <row r="5" spans="1:17" ht="15.75" thickBot="1" x14ac:dyDescent="0.3">
      <c r="A5" s="72"/>
      <c r="B5" s="79" t="s">
        <v>8</v>
      </c>
      <c r="C5" s="80"/>
      <c r="D5" s="80"/>
      <c r="E5" s="81"/>
      <c r="F5" s="79" t="s">
        <v>9</v>
      </c>
      <c r="G5" s="80"/>
      <c r="H5" s="80"/>
      <c r="I5" s="81"/>
      <c r="J5" s="79" t="s">
        <v>10</v>
      </c>
      <c r="K5" s="80"/>
      <c r="L5" s="80"/>
      <c r="M5" s="81"/>
      <c r="N5" s="79" t="s">
        <v>11</v>
      </c>
      <c r="O5" s="80"/>
      <c r="P5" s="80"/>
      <c r="Q5" s="81"/>
    </row>
    <row r="6" spans="1:17" ht="15.75" thickBot="1" x14ac:dyDescent="0.3">
      <c r="A6" s="72"/>
      <c r="B6" s="7">
        <v>43739</v>
      </c>
      <c r="C6" s="7">
        <v>43770</v>
      </c>
      <c r="D6" s="7">
        <v>43800</v>
      </c>
      <c r="E6" s="82" t="s">
        <v>13</v>
      </c>
      <c r="F6" s="7">
        <v>43739</v>
      </c>
      <c r="G6" s="7">
        <v>43770</v>
      </c>
      <c r="H6" s="7">
        <v>43800</v>
      </c>
      <c r="I6" s="82" t="s">
        <v>13</v>
      </c>
      <c r="J6" s="7">
        <v>43739</v>
      </c>
      <c r="K6" s="7">
        <v>43770</v>
      </c>
      <c r="L6" s="7">
        <v>43800</v>
      </c>
      <c r="M6" s="82" t="s">
        <v>13</v>
      </c>
      <c r="N6" s="7">
        <v>43739</v>
      </c>
      <c r="O6" s="7">
        <v>43770</v>
      </c>
      <c r="P6" s="7">
        <v>43800</v>
      </c>
      <c r="Q6" s="82" t="s">
        <v>13</v>
      </c>
    </row>
    <row r="7" spans="1:17" ht="15.75" thickBot="1" x14ac:dyDescent="0.3">
      <c r="A7" s="72"/>
      <c r="B7" s="85" t="s">
        <v>14</v>
      </c>
      <c r="C7" s="86"/>
      <c r="D7" s="87"/>
      <c r="E7" s="83"/>
      <c r="F7" s="85" t="s">
        <v>14</v>
      </c>
      <c r="G7" s="86"/>
      <c r="H7" s="87"/>
      <c r="I7" s="83"/>
      <c r="J7" s="85" t="s">
        <v>14</v>
      </c>
      <c r="K7" s="86"/>
      <c r="L7" s="87"/>
      <c r="M7" s="83"/>
      <c r="N7" s="85" t="s">
        <v>14</v>
      </c>
      <c r="O7" s="86"/>
      <c r="P7" s="87"/>
      <c r="Q7" s="84"/>
    </row>
    <row r="8" spans="1:17" x14ac:dyDescent="0.25">
      <c r="A8" s="9" t="s">
        <v>15</v>
      </c>
      <c r="B8" s="10">
        <f>125/10</f>
        <v>12.5</v>
      </c>
      <c r="C8" s="11">
        <v>5</v>
      </c>
      <c r="D8" s="10"/>
      <c r="E8" s="12">
        <f t="shared" ref="E8:E24" si="0">(D8+C8+B8)/3</f>
        <v>5.833333333333333</v>
      </c>
      <c r="F8" s="10">
        <v>7</v>
      </c>
      <c r="G8" s="13">
        <v>4</v>
      </c>
      <c r="H8" s="10"/>
      <c r="I8" s="12">
        <f>(F8+G8+H8)/3</f>
        <v>3.6666666666666665</v>
      </c>
      <c r="J8" s="10"/>
      <c r="K8" s="13"/>
      <c r="L8" s="14"/>
      <c r="M8" s="15">
        <f>(L8+K8+J8)/3</f>
        <v>0</v>
      </c>
      <c r="N8" s="10">
        <v>15</v>
      </c>
      <c r="O8" s="13">
        <v>15</v>
      </c>
      <c r="P8" s="96"/>
      <c r="Q8" s="100">
        <f>(P8+O8+N8)/3</f>
        <v>10</v>
      </c>
    </row>
    <row r="9" spans="1:17" x14ac:dyDescent="0.25">
      <c r="A9" s="24" t="s">
        <v>16</v>
      </c>
      <c r="B9" s="25">
        <v>1</v>
      </c>
      <c r="C9" s="26">
        <v>1</v>
      </c>
      <c r="D9" s="25"/>
      <c r="E9" s="27">
        <f t="shared" si="0"/>
        <v>0.66666666666666663</v>
      </c>
      <c r="F9" s="25">
        <v>-11</v>
      </c>
      <c r="G9" s="25"/>
      <c r="H9" s="25"/>
      <c r="I9" s="27">
        <f>(H9+G9+F9)/3</f>
        <v>-3.6666666666666665</v>
      </c>
      <c r="J9" s="28"/>
      <c r="K9" s="28"/>
      <c r="L9" s="28"/>
      <c r="M9" s="29">
        <f>(L9+K9+J9)/3</f>
        <v>0</v>
      </c>
      <c r="N9" s="30">
        <v>1</v>
      </c>
      <c r="O9" s="25">
        <v>1</v>
      </c>
      <c r="P9" s="97"/>
      <c r="Q9" s="100">
        <f>(P9+O9+N9)/3</f>
        <v>0.66666666666666663</v>
      </c>
    </row>
    <row r="10" spans="1:17" x14ac:dyDescent="0.25">
      <c r="A10" s="24" t="s">
        <v>17</v>
      </c>
      <c r="B10" s="25">
        <f>180/12</f>
        <v>15</v>
      </c>
      <c r="C10" s="26">
        <v>10</v>
      </c>
      <c r="D10" s="25"/>
      <c r="E10" s="27">
        <f t="shared" si="0"/>
        <v>8.3333333333333339</v>
      </c>
      <c r="F10" s="30">
        <f>167/12</f>
        <v>13.916666666666666</v>
      </c>
      <c r="G10" s="25">
        <v>10</v>
      </c>
      <c r="H10" s="25"/>
      <c r="I10" s="27">
        <f>(H10+G10+F10)/3</f>
        <v>7.9722222222222214</v>
      </c>
      <c r="J10" s="25"/>
      <c r="K10" s="30">
        <v>4</v>
      </c>
      <c r="L10" s="28"/>
      <c r="M10" s="29">
        <f>(L10+K10+J10)/3</f>
        <v>1.3333333333333333</v>
      </c>
      <c r="N10" s="25">
        <f>180/12</f>
        <v>15</v>
      </c>
      <c r="O10" s="30">
        <v>15</v>
      </c>
      <c r="P10" s="97"/>
      <c r="Q10" s="100">
        <f>(P10+O10+N10)/3</f>
        <v>10</v>
      </c>
    </row>
    <row r="11" spans="1:17" x14ac:dyDescent="0.25">
      <c r="A11" s="24" t="s">
        <v>18</v>
      </c>
      <c r="B11" s="25">
        <v>1</v>
      </c>
      <c r="C11" s="26">
        <v>1</v>
      </c>
      <c r="D11" s="25"/>
      <c r="E11" s="27">
        <f t="shared" si="0"/>
        <v>0.66666666666666663</v>
      </c>
      <c r="F11" s="25"/>
      <c r="G11" s="25">
        <v>1</v>
      </c>
      <c r="H11" s="25"/>
      <c r="I11" s="27">
        <f>(H11+G11+F11)/3</f>
        <v>0.33333333333333331</v>
      </c>
      <c r="J11" s="28"/>
      <c r="K11" s="28"/>
      <c r="L11" s="28"/>
      <c r="M11" s="29">
        <f>(L11+K11+J11)/3</f>
        <v>0</v>
      </c>
      <c r="N11" s="30">
        <v>1</v>
      </c>
      <c r="O11" s="30">
        <v>1</v>
      </c>
      <c r="P11" s="97"/>
      <c r="Q11" s="100">
        <f>(P11+O11+N11)/3</f>
        <v>0.66666666666666663</v>
      </c>
    </row>
    <row r="12" spans="1:17" x14ac:dyDescent="0.25">
      <c r="A12" s="24" t="s">
        <v>33</v>
      </c>
      <c r="B12" s="70">
        <f>960/36</f>
        <v>26.666666666666668</v>
      </c>
      <c r="C12" s="26"/>
      <c r="D12" s="25"/>
      <c r="E12" s="27">
        <f t="shared" si="0"/>
        <v>8.8888888888888893</v>
      </c>
      <c r="F12" s="25"/>
      <c r="G12" s="25"/>
      <c r="H12" s="25"/>
      <c r="I12" s="27"/>
      <c r="J12" s="28"/>
      <c r="K12" s="28">
        <v>50</v>
      </c>
      <c r="L12" s="28"/>
      <c r="M12" s="29"/>
      <c r="N12" s="30"/>
      <c r="O12" s="30"/>
      <c r="P12" s="97"/>
      <c r="Q12" s="100"/>
    </row>
    <row r="13" spans="1:17" x14ac:dyDescent="0.25">
      <c r="A13" s="24" t="s">
        <v>19</v>
      </c>
      <c r="B13" s="25">
        <f>1188/36</f>
        <v>33</v>
      </c>
      <c r="C13" s="26">
        <v>71</v>
      </c>
      <c r="D13" s="25"/>
      <c r="E13" s="27">
        <f t="shared" si="0"/>
        <v>34.666666666666664</v>
      </c>
      <c r="F13" s="25">
        <f>3960/36</f>
        <v>110</v>
      </c>
      <c r="G13" s="30">
        <f>1920/36</f>
        <v>53.333333333333336</v>
      </c>
      <c r="H13" s="25"/>
      <c r="I13" s="27">
        <f t="shared" ref="I13:I24" si="1">(H13+G13+F13)/3</f>
        <v>54.44444444444445</v>
      </c>
      <c r="J13" s="25">
        <f>2700/36</f>
        <v>75</v>
      </c>
      <c r="K13" s="30">
        <v>25</v>
      </c>
      <c r="L13" s="30"/>
      <c r="M13" s="29">
        <f t="shared" ref="M13:M24" si="2">(L13+K13+J13)/3</f>
        <v>33.333333333333336</v>
      </c>
      <c r="N13" s="25">
        <f>3600/36</f>
        <v>100</v>
      </c>
      <c r="O13" s="30">
        <v>175</v>
      </c>
      <c r="P13" s="98"/>
      <c r="Q13" s="100">
        <f t="shared" ref="Q13:Q24" si="3">(P13+O13+N13)/3</f>
        <v>91.666666666666671</v>
      </c>
    </row>
    <row r="14" spans="1:17" x14ac:dyDescent="0.25">
      <c r="A14" s="39" t="s">
        <v>20</v>
      </c>
      <c r="B14" s="40">
        <v>7418600</v>
      </c>
      <c r="C14" s="41">
        <v>7386800</v>
      </c>
      <c r="D14" s="40"/>
      <c r="E14" s="27">
        <f t="shared" si="0"/>
        <v>4935133.333333333</v>
      </c>
      <c r="F14" s="40">
        <v>9924100</v>
      </c>
      <c r="G14" s="42">
        <v>5584000</v>
      </c>
      <c r="H14" s="40"/>
      <c r="I14" s="27">
        <f t="shared" si="1"/>
        <v>5169366.666666667</v>
      </c>
      <c r="J14" s="43">
        <v>5940000</v>
      </c>
      <c r="K14" s="43">
        <v>6202800</v>
      </c>
      <c r="L14" s="43"/>
      <c r="M14" s="29">
        <f t="shared" si="2"/>
        <v>4047600</v>
      </c>
      <c r="N14" s="43">
        <v>10788000</v>
      </c>
      <c r="O14" s="95">
        <v>16728000</v>
      </c>
      <c r="P14" s="97"/>
      <c r="Q14" s="100">
        <f t="shared" si="3"/>
        <v>9172000</v>
      </c>
    </row>
    <row r="15" spans="1:17" x14ac:dyDescent="0.25">
      <c r="A15" s="44" t="s">
        <v>21</v>
      </c>
      <c r="B15" s="25">
        <f>120/24</f>
        <v>5</v>
      </c>
      <c r="C15" s="26">
        <v>5</v>
      </c>
      <c r="D15" s="25"/>
      <c r="E15" s="27">
        <f t="shared" si="0"/>
        <v>3.3333333333333335</v>
      </c>
      <c r="F15" s="30">
        <f>480/24</f>
        <v>20</v>
      </c>
      <c r="G15" s="30">
        <v>5</v>
      </c>
      <c r="H15" s="25"/>
      <c r="I15" s="27">
        <f t="shared" si="1"/>
        <v>8.3333333333333339</v>
      </c>
      <c r="J15" s="25"/>
      <c r="K15" s="30">
        <v>20</v>
      </c>
      <c r="L15" s="30"/>
      <c r="M15" s="29">
        <f t="shared" si="2"/>
        <v>6.666666666666667</v>
      </c>
      <c r="N15" s="25">
        <f>432/24</f>
        <v>18</v>
      </c>
      <c r="O15" s="30">
        <v>10</v>
      </c>
      <c r="P15" s="98"/>
      <c r="Q15" s="100">
        <f t="shared" si="3"/>
        <v>9.3333333333333339</v>
      </c>
    </row>
    <row r="16" spans="1:17" x14ac:dyDescent="0.25">
      <c r="A16" s="44" t="s">
        <v>22</v>
      </c>
      <c r="B16" s="25">
        <f>72/12</f>
        <v>6</v>
      </c>
      <c r="C16" s="26">
        <v>4</v>
      </c>
      <c r="D16" s="25"/>
      <c r="E16" s="27">
        <f t="shared" si="0"/>
        <v>3.3333333333333335</v>
      </c>
      <c r="F16" s="30">
        <f>84/12</f>
        <v>7</v>
      </c>
      <c r="G16" s="25">
        <v>5</v>
      </c>
      <c r="H16" s="25"/>
      <c r="I16" s="27">
        <f t="shared" si="1"/>
        <v>4</v>
      </c>
      <c r="J16" s="25">
        <v>5</v>
      </c>
      <c r="K16" s="28">
        <v>1</v>
      </c>
      <c r="L16" s="28"/>
      <c r="M16" s="29">
        <f t="shared" si="2"/>
        <v>2</v>
      </c>
      <c r="N16" s="25"/>
      <c r="O16" s="30">
        <v>11</v>
      </c>
      <c r="P16" s="98"/>
      <c r="Q16" s="100">
        <f t="shared" si="3"/>
        <v>3.6666666666666665</v>
      </c>
    </row>
    <row r="17" spans="1:17" x14ac:dyDescent="0.25">
      <c r="A17" s="44" t="s">
        <v>23</v>
      </c>
      <c r="B17" s="25">
        <f>78/6</f>
        <v>13</v>
      </c>
      <c r="C17" s="26">
        <v>16</v>
      </c>
      <c r="D17" s="25"/>
      <c r="E17" s="27">
        <f t="shared" si="0"/>
        <v>9.6666666666666661</v>
      </c>
      <c r="F17" s="30">
        <v>20</v>
      </c>
      <c r="G17" s="30">
        <f>84/6</f>
        <v>14</v>
      </c>
      <c r="H17" s="25"/>
      <c r="I17" s="27">
        <f t="shared" si="1"/>
        <v>11.333333333333334</v>
      </c>
      <c r="J17" s="25">
        <f>149/6</f>
        <v>24.833333333333332</v>
      </c>
      <c r="K17" s="30">
        <v>20</v>
      </c>
      <c r="L17" s="30"/>
      <c r="M17" s="29">
        <f t="shared" si="2"/>
        <v>14.944444444444443</v>
      </c>
      <c r="N17" s="25">
        <f>144/6</f>
        <v>24</v>
      </c>
      <c r="O17" s="30">
        <v>21</v>
      </c>
      <c r="P17" s="98"/>
      <c r="Q17" s="100">
        <f t="shared" si="3"/>
        <v>15</v>
      </c>
    </row>
    <row r="18" spans="1:17" x14ac:dyDescent="0.25">
      <c r="A18" s="44" t="s">
        <v>24</v>
      </c>
      <c r="B18" s="25">
        <v>11</v>
      </c>
      <c r="C18" s="26">
        <v>12</v>
      </c>
      <c r="D18" s="25"/>
      <c r="E18" s="27">
        <f t="shared" si="0"/>
        <v>7.666666666666667</v>
      </c>
      <c r="F18" s="30">
        <f>72/6</f>
        <v>12</v>
      </c>
      <c r="G18" s="30">
        <v>8</v>
      </c>
      <c r="H18" s="25"/>
      <c r="I18" s="27">
        <f t="shared" si="1"/>
        <v>6.666666666666667</v>
      </c>
      <c r="J18" s="25">
        <f>72/6</f>
        <v>12</v>
      </c>
      <c r="K18" s="30">
        <v>10</v>
      </c>
      <c r="L18" s="28"/>
      <c r="M18" s="29">
        <f t="shared" si="2"/>
        <v>7.333333333333333</v>
      </c>
      <c r="N18" s="25">
        <f>48/6</f>
        <v>8</v>
      </c>
      <c r="O18" s="30">
        <v>23</v>
      </c>
      <c r="P18" s="98"/>
      <c r="Q18" s="100">
        <f t="shared" si="3"/>
        <v>10.333333333333334</v>
      </c>
    </row>
    <row r="19" spans="1:17" x14ac:dyDescent="0.25">
      <c r="A19" s="44" t="s">
        <v>25</v>
      </c>
      <c r="B19" s="25">
        <v>4</v>
      </c>
      <c r="C19" s="26"/>
      <c r="D19" s="25"/>
      <c r="E19" s="27">
        <f t="shared" si="0"/>
        <v>1.3333333333333333</v>
      </c>
      <c r="F19" s="30">
        <v>5</v>
      </c>
      <c r="G19" s="30">
        <v>6</v>
      </c>
      <c r="H19" s="25"/>
      <c r="I19" s="27">
        <f t="shared" si="1"/>
        <v>3.6666666666666665</v>
      </c>
      <c r="J19" s="25">
        <v>4</v>
      </c>
      <c r="K19" s="30">
        <v>1</v>
      </c>
      <c r="L19" s="30"/>
      <c r="M19" s="29">
        <f t="shared" si="2"/>
        <v>1.6666666666666667</v>
      </c>
      <c r="N19" s="25"/>
      <c r="O19" s="25"/>
      <c r="P19" s="98"/>
      <c r="Q19" s="100">
        <f t="shared" si="3"/>
        <v>0</v>
      </c>
    </row>
    <row r="20" spans="1:17" x14ac:dyDescent="0.25">
      <c r="A20" s="45" t="s">
        <v>26</v>
      </c>
      <c r="B20" s="25">
        <f>72/24</f>
        <v>3</v>
      </c>
      <c r="C20" s="26">
        <v>5</v>
      </c>
      <c r="D20" s="25"/>
      <c r="E20" s="27">
        <f t="shared" si="0"/>
        <v>2.6666666666666665</v>
      </c>
      <c r="F20" s="30">
        <f>96/24</f>
        <v>4</v>
      </c>
      <c r="G20" s="30">
        <v>10</v>
      </c>
      <c r="H20" s="25"/>
      <c r="I20" s="27">
        <f t="shared" si="1"/>
        <v>4.666666666666667</v>
      </c>
      <c r="J20" s="28"/>
      <c r="K20" s="28"/>
      <c r="L20" s="28"/>
      <c r="M20" s="29">
        <f t="shared" si="2"/>
        <v>0</v>
      </c>
      <c r="N20" s="30"/>
      <c r="O20" s="25"/>
      <c r="P20" s="97"/>
      <c r="Q20" s="100">
        <f t="shared" si="3"/>
        <v>0</v>
      </c>
    </row>
    <row r="21" spans="1:17" x14ac:dyDescent="0.25">
      <c r="A21" s="39" t="s">
        <v>27</v>
      </c>
      <c r="B21" s="40">
        <v>2515140</v>
      </c>
      <c r="C21" s="41">
        <v>2447760</v>
      </c>
      <c r="D21" s="40"/>
      <c r="E21" s="27">
        <f t="shared" si="0"/>
        <v>1654300</v>
      </c>
      <c r="F21" s="40">
        <v>4163880</v>
      </c>
      <c r="G21" s="40">
        <v>2734200</v>
      </c>
      <c r="H21" s="40"/>
      <c r="I21" s="27">
        <f t="shared" si="1"/>
        <v>2299360</v>
      </c>
      <c r="J21" s="43">
        <v>2823050</v>
      </c>
      <c r="K21" s="43">
        <v>3336140</v>
      </c>
      <c r="L21" s="43"/>
      <c r="M21" s="29">
        <f t="shared" si="2"/>
        <v>2053063.3333333333</v>
      </c>
      <c r="N21" s="43">
        <v>3168000</v>
      </c>
      <c r="O21" s="94">
        <v>3949990</v>
      </c>
      <c r="P21" s="97"/>
      <c r="Q21" s="100">
        <f t="shared" si="3"/>
        <v>2372663.3333333335</v>
      </c>
    </row>
    <row r="22" spans="1:17" x14ac:dyDescent="0.25">
      <c r="A22" s="44" t="s">
        <v>28</v>
      </c>
      <c r="B22" s="25">
        <v>3</v>
      </c>
      <c r="C22" s="25">
        <v>3</v>
      </c>
      <c r="D22" s="25"/>
      <c r="E22" s="27">
        <f t="shared" si="0"/>
        <v>2</v>
      </c>
      <c r="F22" s="25">
        <v>1</v>
      </c>
      <c r="G22" s="30">
        <v>2</v>
      </c>
      <c r="H22" s="25"/>
      <c r="I22" s="27">
        <f t="shared" si="1"/>
        <v>1</v>
      </c>
      <c r="J22" s="28">
        <v>2</v>
      </c>
      <c r="K22" s="28">
        <v>4</v>
      </c>
      <c r="L22" s="28"/>
      <c r="M22" s="29">
        <f t="shared" si="2"/>
        <v>2</v>
      </c>
      <c r="N22" s="30">
        <v>1</v>
      </c>
      <c r="O22" s="25">
        <v>5</v>
      </c>
      <c r="P22" s="97"/>
      <c r="Q22" s="100">
        <f t="shared" si="3"/>
        <v>2</v>
      </c>
    </row>
    <row r="23" spans="1:17" x14ac:dyDescent="0.25">
      <c r="A23" s="39" t="s">
        <v>29</v>
      </c>
      <c r="B23" s="40">
        <v>270000</v>
      </c>
      <c r="C23" s="46">
        <v>270000</v>
      </c>
      <c r="D23" s="40"/>
      <c r="E23" s="27">
        <f t="shared" si="0"/>
        <v>180000</v>
      </c>
      <c r="F23" s="40">
        <v>90000</v>
      </c>
      <c r="G23" s="40">
        <v>180000</v>
      </c>
      <c r="H23" s="40"/>
      <c r="I23" s="27">
        <f t="shared" si="1"/>
        <v>90000</v>
      </c>
      <c r="J23" s="43">
        <v>180000</v>
      </c>
      <c r="K23" s="43">
        <v>360000</v>
      </c>
      <c r="L23" s="43"/>
      <c r="M23" s="29">
        <f t="shared" si="2"/>
        <v>180000</v>
      </c>
      <c r="N23" s="43">
        <v>90000</v>
      </c>
      <c r="O23" s="25">
        <v>450000</v>
      </c>
      <c r="P23" s="97"/>
      <c r="Q23" s="100">
        <f t="shared" si="3"/>
        <v>180000</v>
      </c>
    </row>
    <row r="24" spans="1:17" ht="15.75" thickBot="1" x14ac:dyDescent="0.3">
      <c r="A24" s="47" t="s">
        <v>30</v>
      </c>
      <c r="B24" s="48">
        <f>SUM(B14,B21,B23)</f>
        <v>10203740</v>
      </c>
      <c r="C24" s="49">
        <f>SUM(C14,C21,C23)</f>
        <v>10104560</v>
      </c>
      <c r="D24" s="48">
        <f>SUM(D14,D21,D23)</f>
        <v>0</v>
      </c>
      <c r="E24" s="50">
        <f t="shared" si="0"/>
        <v>6769433.333333333</v>
      </c>
      <c r="F24" s="48">
        <f>SUM(F14,F21,F23)</f>
        <v>14177980</v>
      </c>
      <c r="G24" s="48">
        <f>SUM(G14,G21,G23)</f>
        <v>8498200</v>
      </c>
      <c r="H24" s="48">
        <f>SUM(H14,H21,H23)</f>
        <v>0</v>
      </c>
      <c r="I24" s="50">
        <f t="shared" si="1"/>
        <v>7558726.666666667</v>
      </c>
      <c r="J24" s="48">
        <f>SUM(J14,J21,J23)</f>
        <v>8943050</v>
      </c>
      <c r="K24" s="48">
        <f>SUM(K14,K21,K23)</f>
        <v>9898940</v>
      </c>
      <c r="L24" s="48">
        <f>SUM(L14,L21,L23)</f>
        <v>0</v>
      </c>
      <c r="M24" s="51">
        <f t="shared" si="2"/>
        <v>6280663.333333333</v>
      </c>
      <c r="N24" s="48">
        <f>SUM(N14,N21,N23)</f>
        <v>14046000</v>
      </c>
      <c r="O24" s="48">
        <f>SUM(O14,O21,O23)</f>
        <v>21127990</v>
      </c>
      <c r="P24" s="99">
        <f>SUM(P14,P21,P23)</f>
        <v>0</v>
      </c>
      <c r="Q24" s="100">
        <f t="shared" si="3"/>
        <v>11724663.333333334</v>
      </c>
    </row>
  </sheetData>
  <mergeCells count="18">
    <mergeCell ref="B4:E4"/>
    <mergeCell ref="F4:I4"/>
    <mergeCell ref="J4:M4"/>
    <mergeCell ref="N4:Q4"/>
    <mergeCell ref="B5:E5"/>
    <mergeCell ref="F5:I5"/>
    <mergeCell ref="J5:M5"/>
    <mergeCell ref="N5:Q5"/>
    <mergeCell ref="E6:E7"/>
    <mergeCell ref="I6:I7"/>
    <mergeCell ref="M6:M7"/>
    <mergeCell ref="Q6:Q7"/>
    <mergeCell ref="B7:D7"/>
    <mergeCell ref="F7:H7"/>
    <mergeCell ref="J7:L7"/>
    <mergeCell ref="A3:A7"/>
    <mergeCell ref="B3:Q3"/>
    <mergeCell ref="N7:P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4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JAN-MAR</vt:lpstr>
      <vt:lpstr>APR-JUN</vt:lpstr>
      <vt:lpstr>JULI s.dSEP</vt:lpstr>
      <vt:lpstr>OKT-DES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 PC</cp:lastModifiedBy>
  <cp:revision>3</cp:revision>
  <dcterms:modified xsi:type="dcterms:W3CDTF">2019-12-06T17:22:27Z</dcterms:modified>
</cp:coreProperties>
</file>